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thenationalforestcompany.sharepoint.com/sites/Operations_/Shared Documents/Land and Forestry/Woodland and Habitat Management/Woodland Management Grant/Round 10 - 2022-23/1. Forms/"/>
    </mc:Choice>
  </mc:AlternateContent>
  <xr:revisionPtr revIDLastSave="183" documentId="8_{4C8EDFB7-39F0-4A6F-8021-970BFBA89952}" xr6:coauthVersionLast="47" xr6:coauthVersionMax="47" xr10:uidLastSave="{B3F9B2A5-09E3-4423-9412-207BAED11E36}"/>
  <bookViews>
    <workbookView xWindow="-28920" yWindow="-8145" windowWidth="29040" windowHeight="15840" tabRatio="699" activeTab="2" xr2:uid="{00000000-000D-0000-FFFF-FFFF00000000}"/>
  </bookViews>
  <sheets>
    <sheet name="Instructions" sheetId="6" r:id="rId1"/>
    <sheet name="Summary Sheet" sheetId="17" r:id="rId2"/>
    <sheet name="Example" sheetId="19" r:id="rId3"/>
    <sheet name="Calculator" sheetId="20" r:id="rId4"/>
    <sheet name="Standard Costs" sheetId="15" r:id="rId5"/>
  </sheets>
  <definedNames>
    <definedName name="_xlnm.Print_Area" localSheetId="3">Calculator!$A$1:$L$51</definedName>
    <definedName name="_xlnm.Print_Area" localSheetId="2">Example!$A$1:$L$51</definedName>
    <definedName name="_xlnm.Print_Area" localSheetId="0">Instructions!$A$1:$C$60</definedName>
    <definedName name="_xlnm.Print_Area" localSheetId="4">'Standard Costs'!$B$1:$G$47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5" l="1"/>
  <c r="K38" i="19"/>
  <c r="K42" i="20"/>
  <c r="K45" i="20" s="1"/>
  <c r="D12" i="17"/>
  <c r="L44" i="20"/>
  <c r="M44" i="20" s="1"/>
  <c r="K44" i="20"/>
  <c r="J44" i="20"/>
  <c r="L43" i="20"/>
  <c r="K43" i="20"/>
  <c r="M43" i="20" s="1"/>
  <c r="J43" i="20"/>
  <c r="J42" i="20"/>
  <c r="K41" i="20"/>
  <c r="J41" i="20"/>
  <c r="J45" i="20" s="1"/>
  <c r="K37" i="20"/>
  <c r="K38" i="20" s="1"/>
  <c r="L32" i="20"/>
  <c r="J32" i="20"/>
  <c r="I32" i="20"/>
  <c r="H32" i="20"/>
  <c r="K32" i="20" s="1"/>
  <c r="C32" i="20"/>
  <c r="L31" i="20"/>
  <c r="J31" i="20"/>
  <c r="I31" i="20"/>
  <c r="H31" i="20"/>
  <c r="K31" i="20" s="1"/>
  <c r="C31" i="20"/>
  <c r="L30" i="20"/>
  <c r="J30" i="20"/>
  <c r="I30" i="20"/>
  <c r="H30" i="20"/>
  <c r="K30" i="20" s="1"/>
  <c r="C30" i="20"/>
  <c r="L29" i="20"/>
  <c r="J29" i="20"/>
  <c r="I29" i="20"/>
  <c r="H29" i="20"/>
  <c r="K29" i="20" s="1"/>
  <c r="C29" i="20"/>
  <c r="L28" i="20"/>
  <c r="J28" i="20"/>
  <c r="I28" i="20"/>
  <c r="H28" i="20"/>
  <c r="K28" i="20" s="1"/>
  <c r="C28" i="20"/>
  <c r="L27" i="20"/>
  <c r="J27" i="20"/>
  <c r="I27" i="20"/>
  <c r="H27" i="20"/>
  <c r="K27" i="20" s="1"/>
  <c r="C27" i="20"/>
  <c r="L26" i="20"/>
  <c r="J26" i="20"/>
  <c r="I26" i="20"/>
  <c r="H26" i="20"/>
  <c r="K26" i="20" s="1"/>
  <c r="C26" i="20"/>
  <c r="L25" i="20"/>
  <c r="J25" i="20"/>
  <c r="I25" i="20"/>
  <c r="H25" i="20"/>
  <c r="K25" i="20" s="1"/>
  <c r="C25" i="20"/>
  <c r="L24" i="20"/>
  <c r="J24" i="20"/>
  <c r="I24" i="20"/>
  <c r="H24" i="20"/>
  <c r="K24" i="20" s="1"/>
  <c r="C24" i="20"/>
  <c r="J23" i="20"/>
  <c r="I23" i="20"/>
  <c r="H23" i="20"/>
  <c r="K23" i="20" s="1"/>
  <c r="C23" i="20"/>
  <c r="J22" i="20"/>
  <c r="I22" i="20"/>
  <c r="H22" i="20"/>
  <c r="K22" i="20" s="1"/>
  <c r="C22" i="20"/>
  <c r="J21" i="20"/>
  <c r="I21" i="20"/>
  <c r="H21" i="20"/>
  <c r="K21" i="20" s="1"/>
  <c r="C21" i="20"/>
  <c r="I20" i="20"/>
  <c r="H20" i="20"/>
  <c r="C20" i="20"/>
  <c r="I19" i="20"/>
  <c r="H19" i="20"/>
  <c r="C19" i="20"/>
  <c r="I18" i="20"/>
  <c r="H18" i="20"/>
  <c r="J18" i="20" s="1"/>
  <c r="K18" i="20" s="1"/>
  <c r="C18" i="20"/>
  <c r="I17" i="20"/>
  <c r="H17" i="20"/>
  <c r="J17" i="20" s="1"/>
  <c r="K17" i="20" s="1"/>
  <c r="C17" i="20"/>
  <c r="I16" i="20"/>
  <c r="H16" i="20"/>
  <c r="C16" i="20"/>
  <c r="J15" i="20"/>
  <c r="I15" i="20"/>
  <c r="H15" i="20"/>
  <c r="K15" i="20" s="1"/>
  <c r="C15" i="20"/>
  <c r="J14" i="20"/>
  <c r="I14" i="20"/>
  <c r="H14" i="20"/>
  <c r="K14" i="20" s="1"/>
  <c r="C14" i="20"/>
  <c r="I13" i="20"/>
  <c r="H13" i="20"/>
  <c r="C13" i="20"/>
  <c r="J12" i="20"/>
  <c r="I12" i="20"/>
  <c r="H12" i="20"/>
  <c r="C12" i="20"/>
  <c r="I11" i="20"/>
  <c r="H11" i="20"/>
  <c r="C11" i="20"/>
  <c r="K45" i="19"/>
  <c r="H11" i="19"/>
  <c r="C12" i="19"/>
  <c r="C13" i="19"/>
  <c r="C14" i="19"/>
  <c r="C15" i="19"/>
  <c r="C16" i="19"/>
  <c r="C17" i="19"/>
  <c r="C18" i="19"/>
  <c r="C19" i="19"/>
  <c r="C20" i="19"/>
  <c r="C21" i="19"/>
  <c r="C22" i="19"/>
  <c r="C23" i="19"/>
  <c r="C24" i="19"/>
  <c r="C25" i="19"/>
  <c r="C26" i="19"/>
  <c r="C27" i="19"/>
  <c r="C28" i="19"/>
  <c r="C29" i="19"/>
  <c r="C30" i="19"/>
  <c r="C31" i="19"/>
  <c r="C32" i="19"/>
  <c r="K46" i="19"/>
  <c r="L42" i="19"/>
  <c r="L43" i="19"/>
  <c r="L44" i="19"/>
  <c r="L41" i="19"/>
  <c r="H12" i="19"/>
  <c r="K12" i="19" s="1"/>
  <c r="L12" i="19" s="1"/>
  <c r="I12" i="19"/>
  <c r="J12" i="19"/>
  <c r="H13" i="19"/>
  <c r="J13" i="19" s="1"/>
  <c r="K13" i="19" s="1"/>
  <c r="I13" i="19"/>
  <c r="H14" i="19"/>
  <c r="K14" i="19" s="1"/>
  <c r="L14" i="19" s="1"/>
  <c r="I14" i="19"/>
  <c r="J14" i="19"/>
  <c r="H15" i="19"/>
  <c r="K15" i="19" s="1"/>
  <c r="L15" i="19" s="1"/>
  <c r="I15" i="19"/>
  <c r="J15" i="19"/>
  <c r="H16" i="19"/>
  <c r="J16" i="19" s="1"/>
  <c r="K16" i="19" s="1"/>
  <c r="I16" i="19"/>
  <c r="H17" i="19"/>
  <c r="J17" i="19" s="1"/>
  <c r="I17" i="19"/>
  <c r="H18" i="19"/>
  <c r="J18" i="19" s="1"/>
  <c r="K18" i="19" s="1"/>
  <c r="I18" i="19"/>
  <c r="H19" i="19"/>
  <c r="J19" i="19" s="1"/>
  <c r="I19" i="19"/>
  <c r="H20" i="19"/>
  <c r="J20" i="19" s="1"/>
  <c r="K20" i="19" s="1"/>
  <c r="L20" i="19" s="1"/>
  <c r="I20" i="19"/>
  <c r="H21" i="19"/>
  <c r="K21" i="19" s="1"/>
  <c r="L21" i="19" s="1"/>
  <c r="I21" i="19"/>
  <c r="J21" i="19"/>
  <c r="H22" i="19"/>
  <c r="K22" i="19" s="1"/>
  <c r="L22" i="19" s="1"/>
  <c r="I22" i="19"/>
  <c r="J22" i="19"/>
  <c r="H23" i="19"/>
  <c r="K23" i="19" s="1"/>
  <c r="I23" i="19"/>
  <c r="J23" i="19"/>
  <c r="H24" i="19"/>
  <c r="K24" i="19" s="1"/>
  <c r="I24" i="19"/>
  <c r="J24" i="19"/>
  <c r="H25" i="19"/>
  <c r="K25" i="19" s="1"/>
  <c r="I25" i="19"/>
  <c r="J25" i="19"/>
  <c r="H26" i="19"/>
  <c r="K26" i="19" s="1"/>
  <c r="I26" i="19"/>
  <c r="J26" i="19"/>
  <c r="H27" i="19"/>
  <c r="K27" i="19" s="1"/>
  <c r="I27" i="19"/>
  <c r="J27" i="19"/>
  <c r="H28" i="19"/>
  <c r="K28" i="19" s="1"/>
  <c r="I28" i="19"/>
  <c r="J28" i="19"/>
  <c r="H29" i="19"/>
  <c r="K29" i="19" s="1"/>
  <c r="I29" i="19"/>
  <c r="J29" i="19"/>
  <c r="H30" i="19"/>
  <c r="K30" i="19" s="1"/>
  <c r="I30" i="19"/>
  <c r="J30" i="19"/>
  <c r="H31" i="19"/>
  <c r="K31" i="19" s="1"/>
  <c r="I31" i="19"/>
  <c r="J31" i="19"/>
  <c r="H32" i="19"/>
  <c r="K32" i="19" s="1"/>
  <c r="I32" i="19"/>
  <c r="J32" i="19"/>
  <c r="J42" i="19"/>
  <c r="K42" i="19" s="1"/>
  <c r="J43" i="19"/>
  <c r="K43" i="19"/>
  <c r="J44" i="19"/>
  <c r="K44" i="19"/>
  <c r="M44" i="19" s="1"/>
  <c r="J41" i="19"/>
  <c r="K41" i="19" s="1"/>
  <c r="K37" i="19"/>
  <c r="L24" i="19"/>
  <c r="L25" i="19"/>
  <c r="L26" i="19"/>
  <c r="L27" i="19"/>
  <c r="L28" i="19"/>
  <c r="L29" i="19"/>
  <c r="L30" i="19"/>
  <c r="L31" i="19"/>
  <c r="L32" i="19"/>
  <c r="I11" i="19"/>
  <c r="C11" i="19"/>
  <c r="M31" i="20" l="1"/>
  <c r="M32" i="20"/>
  <c r="M25" i="20"/>
  <c r="M24" i="20"/>
  <c r="M28" i="20"/>
  <c r="M29" i="20"/>
  <c r="M26" i="20"/>
  <c r="M30" i="20"/>
  <c r="M27" i="20"/>
  <c r="L23" i="19"/>
  <c r="M23" i="19" s="1"/>
  <c r="K12" i="20"/>
  <c r="J16" i="20"/>
  <c r="K16" i="20" s="1"/>
  <c r="L16" i="20"/>
  <c r="L18" i="20"/>
  <c r="M18" i="20" s="1"/>
  <c r="L12" i="20"/>
  <c r="L21" i="20"/>
  <c r="M21" i="20" s="1"/>
  <c r="L23" i="20"/>
  <c r="M23" i="20" s="1"/>
  <c r="L42" i="20"/>
  <c r="M42" i="20" s="1"/>
  <c r="L14" i="20"/>
  <c r="M14" i="20" s="1"/>
  <c r="L15" i="20"/>
  <c r="M15" i="20" s="1"/>
  <c r="L17" i="20"/>
  <c r="M17" i="20" s="1"/>
  <c r="L22" i="20"/>
  <c r="M22" i="20" s="1"/>
  <c r="J13" i="20"/>
  <c r="K13" i="20" s="1"/>
  <c r="L41" i="20"/>
  <c r="J20" i="20"/>
  <c r="K20" i="20" s="1"/>
  <c r="J11" i="20"/>
  <c r="J19" i="20"/>
  <c r="K19" i="20" s="1"/>
  <c r="J11" i="19"/>
  <c r="J33" i="19" s="1"/>
  <c r="K49" i="19" s="1"/>
  <c r="M32" i="19"/>
  <c r="M24" i="19"/>
  <c r="M31" i="19"/>
  <c r="M27" i="19"/>
  <c r="M29" i="19"/>
  <c r="M25" i="19"/>
  <c r="K19" i="19"/>
  <c r="K17" i="19"/>
  <c r="L17" i="19" s="1"/>
  <c r="M17" i="19" s="1"/>
  <c r="L13" i="19"/>
  <c r="M42" i="19"/>
  <c r="M43" i="19"/>
  <c r="M30" i="19"/>
  <c r="M41" i="19"/>
  <c r="M26" i="19"/>
  <c r="J45" i="19"/>
  <c r="M22" i="19"/>
  <c r="M15" i="19"/>
  <c r="M21" i="19"/>
  <c r="M14" i="19"/>
  <c r="M20" i="19"/>
  <c r="M28" i="19"/>
  <c r="M12" i="19"/>
  <c r="M12" i="20" l="1"/>
  <c r="K11" i="20"/>
  <c r="K33" i="20" s="1"/>
  <c r="J33" i="20"/>
  <c r="K49" i="20" s="1"/>
  <c r="D9" i="17" s="1"/>
  <c r="K46" i="20"/>
  <c r="M16" i="20"/>
  <c r="L20" i="20"/>
  <c r="M20" i="20" s="1"/>
  <c r="L13" i="20"/>
  <c r="M13" i="20" s="1"/>
  <c r="L19" i="20"/>
  <c r="M19" i="20" s="1"/>
  <c r="M41" i="20"/>
  <c r="K11" i="19"/>
  <c r="K33" i="19" s="1"/>
  <c r="K48" i="19" s="1"/>
  <c r="M13" i="19"/>
  <c r="L18" i="19"/>
  <c r="M18" i="19" s="1"/>
  <c r="L19" i="19"/>
  <c r="M19" i="19" s="1"/>
  <c r="L16" i="19"/>
  <c r="M16" i="19" s="1"/>
  <c r="L11" i="20" l="1"/>
  <c r="K34" i="20" s="1"/>
  <c r="L11" i="19"/>
  <c r="M11" i="19" s="1"/>
  <c r="K48" i="20"/>
  <c r="D8" i="17" s="1"/>
  <c r="M11" i="20" l="1"/>
  <c r="K34" i="19"/>
  <c r="K50" i="19" s="1"/>
  <c r="K50" i="20"/>
  <c r="D10" i="17" s="1"/>
  <c r="D13" i="17" s="1"/>
  <c r="D14" i="17" s="1"/>
</calcChain>
</file>

<file path=xl/sharedStrings.xml><?xml version="1.0" encoding="utf-8"?>
<sst xmlns="http://schemas.openxmlformats.org/spreadsheetml/2006/main" count="454" uniqueCount="253">
  <si>
    <t>Guidance on how to complete the costs calculator</t>
  </si>
  <si>
    <t>Introduction</t>
  </si>
  <si>
    <t>This Cost Calculator is designed for applicants of the National Forest Management Grant. The costs calculator helps applicants and the National Forest Company set out the proposed work, the standard costs (where applicable) will calculate the level of grant that will be offered. It allows a breakdown of costs for non standard costs under Other Projects including the provision of VAT where applicable. The completed costs calculator will form part of the  Management Grant application form.</t>
  </si>
  <si>
    <t>Applicants need to fill in the green boxes in the Calculator tab and the spreadsheet will identify the standard costs (where applicable), calculate the total cost and total grant. White boxes will automatically be populated based on what is entered in the green boxes. You cannot edit any part of the form except the green boxes.</t>
  </si>
  <si>
    <t>The Blue boxes automatically calculate the total cost and the grant funding. This will give the applicant an idea of the grant they could receive if successful. If the blue section does not present values, it means a section of the form has not been completed fully.</t>
  </si>
  <si>
    <t>Property</t>
  </si>
  <si>
    <t>Enter the name of the property</t>
  </si>
  <si>
    <t>Site Size</t>
  </si>
  <si>
    <t>Enter the size of land within the application</t>
  </si>
  <si>
    <t>Summary of Operations</t>
  </si>
  <si>
    <t>Briefly describe why the work is being proposed, what you hope to achieve and any general details of the operation that may be appropriate to note</t>
  </si>
  <si>
    <t>Standard Operation Guidance</t>
  </si>
  <si>
    <t>Code</t>
  </si>
  <si>
    <t>Enter the standard operation code from the standard costs menu</t>
  </si>
  <si>
    <t>VAT</t>
  </si>
  <si>
    <t>Can VAT be re-claimed from the specific work item? (Enter Yes/No). The grant will be adjusted accordingly (VAT will be removed from the cost if it is able to be re-claimed by the applicant)</t>
  </si>
  <si>
    <t>Quantity</t>
  </si>
  <si>
    <t>Enter the number of units you propose to complete the works</t>
  </si>
  <si>
    <t>Description</t>
  </si>
  <si>
    <t>Use this section to add brief additional information about the operation</t>
  </si>
  <si>
    <t>Compartment/s</t>
  </si>
  <si>
    <t>List the work areas where each operation will take place</t>
  </si>
  <si>
    <t>Community Match Funding</t>
  </si>
  <si>
    <t>Enter Items which are to be match funded (e.g. Entire Project or Woodland Works)</t>
  </si>
  <si>
    <t>Use this section to add additional information about the volunteer days/activities</t>
  </si>
  <si>
    <t>Costs/Unit incl VAT</t>
  </si>
  <si>
    <t>Enter the cost per unit (Standard rates are: £50/volunteer day or £6.75/volunteer hour)</t>
  </si>
  <si>
    <t>Unit</t>
  </si>
  <si>
    <t xml:space="preserve">Enter a unit of measure (e.g. Day/Hour) </t>
  </si>
  <si>
    <t>Training &amp; Other Guidance</t>
  </si>
  <si>
    <t>Training</t>
  </si>
  <si>
    <t xml:space="preserve">Enter specific training courses </t>
  </si>
  <si>
    <t>Other</t>
  </si>
  <si>
    <t xml:space="preserve">Other projects will only be considered where they are exceptional. Justification must be given in the application form why standard costs have not been used. </t>
  </si>
  <si>
    <t>WMG/HEG</t>
  </si>
  <si>
    <t xml:space="preserve">Does the option fit within the HEG or WMG objectives. HEG options must be focused on improving biodiversity, whereas WMG must be focused on improving social value. </t>
  </si>
  <si>
    <t>Use this section to add additional information about the training course or other project</t>
  </si>
  <si>
    <t>Enter the cost per unit including VAT</t>
  </si>
  <si>
    <t>Enter a unit of measure (e.g. Day/Hectare/Course)</t>
  </si>
  <si>
    <t xml:space="preserve">Management Grant Summary </t>
  </si>
  <si>
    <t>Cost</t>
  </si>
  <si>
    <t xml:space="preserve">VAT </t>
  </si>
  <si>
    <t>Total Grant</t>
  </si>
  <si>
    <t>Total Ha</t>
  </si>
  <si>
    <t xml:space="preserve">Total Grant </t>
  </si>
  <si>
    <t>total grant per Ha</t>
  </si>
  <si>
    <t>National Forest Company - Management Grant Costs Calculator</t>
  </si>
  <si>
    <t>Property Name:</t>
  </si>
  <si>
    <t>Pick Triangle</t>
  </si>
  <si>
    <t>Woodland Size: (Ha)</t>
  </si>
  <si>
    <t>Summary of Operations:</t>
  </si>
  <si>
    <t xml:space="preserve">Management of Pick Triangle is designed to protect the woodland from damage by Grey Squirrel, remove plastic from the environment and to create an area which is safe and easily accessible for the general public to use. </t>
  </si>
  <si>
    <t>Standard Operation</t>
  </si>
  <si>
    <t>VAT*</t>
  </si>
  <si>
    <t>Total VAT</t>
  </si>
  <si>
    <t>Total Cost excl VAT</t>
  </si>
  <si>
    <t>Eligible Grant</t>
  </si>
  <si>
    <t>W1</t>
  </si>
  <si>
    <t>Yes</t>
  </si>
  <si>
    <t xml:space="preserve">Woodland Management Plan </t>
  </si>
  <si>
    <t>all</t>
  </si>
  <si>
    <t>W5</t>
  </si>
  <si>
    <t>No</t>
  </si>
  <si>
    <t>Removal of easywrap guards using volunteers</t>
  </si>
  <si>
    <t>W6</t>
  </si>
  <si>
    <t>Recycling of tree guards removed from compartment 3</t>
  </si>
  <si>
    <t>W20</t>
  </si>
  <si>
    <t xml:space="preserve">Homemade bait station, designed to be squirrel proof and with a solid metal backstop </t>
  </si>
  <si>
    <t>4 5 7</t>
  </si>
  <si>
    <t>W12</t>
  </si>
  <si>
    <t xml:space="preserve">For time spent controling squirrels at bait stations </t>
  </si>
  <si>
    <t>w15</t>
  </si>
  <si>
    <t>To improve information provided to public on the woodland and the work we are doing to improve it</t>
  </si>
  <si>
    <t>W21</t>
  </si>
  <si>
    <t xml:space="preserve">Removal of deadwood from roadside trees </t>
  </si>
  <si>
    <t>H3</t>
  </si>
  <si>
    <t>Maiden coppice of Hazel to diversify stand structure.</t>
  </si>
  <si>
    <t>H8</t>
  </si>
  <si>
    <t>Laying of mature hedge on eastern boundary of cmpt 4</t>
  </si>
  <si>
    <t>H12b</t>
  </si>
  <si>
    <t>New sheep netting to allow for the grazing of cmpt 1 with rare breeds</t>
  </si>
  <si>
    <t>H14b</t>
  </si>
  <si>
    <t>30m strip of riverside margin to be protected from grazing to create buffer</t>
  </si>
  <si>
    <t>H12f</t>
  </si>
  <si>
    <t xml:space="preserve">Gate for access into riverside margin </t>
  </si>
  <si>
    <t>H15</t>
  </si>
  <si>
    <t xml:space="preserve">Use of low stocked rare breed sheep to manage grassland to increase species diversity. Yellow Rattle to be sown in September to decrease grass vigour. </t>
  </si>
  <si>
    <t>Total:</t>
  </si>
  <si>
    <t>Eligible Grant:</t>
  </si>
  <si>
    <t>Costs/Unit</t>
  </si>
  <si>
    <t>Total Cost</t>
  </si>
  <si>
    <t xml:space="preserve">Tree Guard Removal </t>
  </si>
  <si>
    <t>Match funding to support volunteers to undertake tree guard removal (40% of option W5)</t>
  </si>
  <si>
    <t>day</t>
  </si>
  <si>
    <t>Training &amp; Other ~</t>
  </si>
  <si>
    <t>WMG</t>
  </si>
  <si>
    <t>Style</t>
  </si>
  <si>
    <t>Bespoke Style to allow access into woodland</t>
  </si>
  <si>
    <t>per style</t>
  </si>
  <si>
    <t>HEG</t>
  </si>
  <si>
    <t>Badger Gate</t>
  </si>
  <si>
    <t>Badger Gate to maintain access from badgers through fenced area</t>
  </si>
  <si>
    <t>per gate</t>
  </si>
  <si>
    <t>* Can VAT be re-claimed against this item? Enter:</t>
  </si>
  <si>
    <t>~ Which grant type should this be claimed against? Enter:</t>
  </si>
  <si>
    <t>Total Cost excl VAT.</t>
  </si>
  <si>
    <t>Total VAT:</t>
  </si>
  <si>
    <t xml:space="preserve">WMG = up to 60% funding </t>
  </si>
  <si>
    <t>National Forest Company Standard Costs For Management Grants</t>
  </si>
  <si>
    <t xml:space="preserve">HEG = up to 100% funding </t>
  </si>
  <si>
    <t>Type</t>
  </si>
  <si>
    <t>Option</t>
  </si>
  <si>
    <t>Specification</t>
  </si>
  <si>
    <t>Survey/Plan Production</t>
  </si>
  <si>
    <t>Each</t>
  </si>
  <si>
    <t>Creation of small woodland management plan / deer management plan / ecological survey (Copy supplied to NFC upon completion)</t>
  </si>
  <si>
    <t>W2</t>
  </si>
  <si>
    <t>Timber Extraction</t>
  </si>
  <si>
    <t>Hectare</t>
  </si>
  <si>
    <t>Remove timber from thinning activity to roadside</t>
  </si>
  <si>
    <t>W3</t>
  </si>
  <si>
    <t>Pruning</t>
  </si>
  <si>
    <t>To include pruning and brashing for access and visual amenity. Minimum 25% per hectare for pruning.</t>
  </si>
  <si>
    <t>W4</t>
  </si>
  <si>
    <t>Fence Removal</t>
  </si>
  <si>
    <t>Linear Metre</t>
  </si>
  <si>
    <t>Removal of redundant fence lines including appropriate disposal/re-use</t>
  </si>
  <si>
    <t>TRG</t>
  </si>
  <si>
    <t>Tree Guard Removal</t>
  </si>
  <si>
    <t>Collection of no less than 1100 tree guards per hectare</t>
  </si>
  <si>
    <t>Tree Guard Recycling</t>
  </si>
  <si>
    <t xml:space="preserve">Recycling of all poly propylene guards removed using option S8 (Tree Guard Removal). Please liaise with Woodland Management Officer prior to submitting application with this option. </t>
  </si>
  <si>
    <t>W7</t>
  </si>
  <si>
    <t>Mensuration Plot</t>
  </si>
  <si>
    <t>Per Plot</t>
  </si>
  <si>
    <t>Payment per plot to cover timber volume estimates. Data must be provided to the NFC. Number of plots to be determined using FC Blue Book.</t>
  </si>
  <si>
    <t>W8</t>
  </si>
  <si>
    <t>Squirrel Spring Trap</t>
  </si>
  <si>
    <t>Supply of basic spring trap approved for squirrel use</t>
  </si>
  <si>
    <t>W9</t>
  </si>
  <si>
    <t>Squirrel Live Cage Trap</t>
  </si>
  <si>
    <t>Supply of live cage trap for squirrel control</t>
  </si>
  <si>
    <t>W10</t>
  </si>
  <si>
    <t>Squirrel Kania or WCS Tube Trap</t>
  </si>
  <si>
    <t>Supply of Kania or WCS tube type trap for squirrel control</t>
  </si>
  <si>
    <t>W11</t>
  </si>
  <si>
    <t xml:space="preserve">Squirrel Goodnature Trap </t>
  </si>
  <si>
    <t>Supply of Goodnature A18 Squirrel Trap including counter and lure</t>
  </si>
  <si>
    <t xml:space="preserve">Squirrel Control </t>
  </si>
  <si>
    <t>Trap per Season</t>
  </si>
  <si>
    <t>Minimum of one daily visit to pre-bait, set and check squirrel trap per season. Records of activity must be kept and supplied upon request. Control plan methods must be stated on application</t>
  </si>
  <si>
    <t>W13</t>
  </si>
  <si>
    <t>Deer High Seat</t>
  </si>
  <si>
    <t>Portable high seat for deer management</t>
  </si>
  <si>
    <t>W14</t>
  </si>
  <si>
    <t>A1 Interpretation Board</t>
  </si>
  <si>
    <t>A1 - detailed on coloured plastic in hardwood/treated softwood frame. Should be weatherproof with a lifespan of at least 10 years. Compliance with signs and leaflets specifications within the CLS</t>
  </si>
  <si>
    <t>W15</t>
  </si>
  <si>
    <t xml:space="preserve">Notice Board </t>
  </si>
  <si>
    <t>Notice board displaying site information. New or replacement.</t>
  </si>
  <si>
    <t>W16</t>
  </si>
  <si>
    <t>Post &amp; Waymarkers</t>
  </si>
  <si>
    <t>Softwood post with waymarker discs</t>
  </si>
  <si>
    <t>W17</t>
  </si>
  <si>
    <t xml:space="preserve">Deer Exclusion Plot </t>
  </si>
  <si>
    <t>Erect a deer exclosure plot that is at least 1.8m high by 4m by 4m</t>
  </si>
  <si>
    <t>W18a</t>
  </si>
  <si>
    <t>Bird</t>
  </si>
  <si>
    <t>Supply of bird box</t>
  </si>
  <si>
    <t>W18b</t>
  </si>
  <si>
    <t>Bat Box</t>
  </si>
  <si>
    <t>Supply of bat box</t>
  </si>
  <si>
    <t>W19</t>
  </si>
  <si>
    <t>Owl Box</t>
  </si>
  <si>
    <t>Supply of owl box</t>
  </si>
  <si>
    <t>Squirrel Bait Stations</t>
  </si>
  <si>
    <t>Supply of squirrel bait station to be used with air rifle for squirrel control. Must be proofed to deter gnawing from squirrels and have a reinforced target area.</t>
  </si>
  <si>
    <t xml:space="preserve">Hedgerow Tree Surgery - Less than 20cm limb diameter </t>
  </si>
  <si>
    <t>Tree</t>
  </si>
  <si>
    <t>Managing and/or restoring mature trees, to prolong their lives, and maintain their wildlife and/or historic value</t>
  </si>
  <si>
    <t>W22</t>
  </si>
  <si>
    <t xml:space="preserve">Hedgerow Tree Surgery - Greater than 20cm limb diameter </t>
  </si>
  <si>
    <t>H1</t>
  </si>
  <si>
    <t>Thinning Ride Edge</t>
  </si>
  <si>
    <t>Metre</t>
  </si>
  <si>
    <t>Variable thinning depth from 2m - 10m, of tree species along rides and around woodland edges for biodiversity and amenity value (state thinning percentage range (e.g. 30-50% thin)</t>
  </si>
  <si>
    <t>H2</t>
  </si>
  <si>
    <t>Scallop Creation</t>
  </si>
  <si>
    <t xml:space="preserve">To create scallops along ride edges or the edge of woodlands to add biodiversity benefits </t>
  </si>
  <si>
    <t>Coppicing</t>
  </si>
  <si>
    <t xml:space="preserve">Coppicing shrub species at ride edge to encourage mixed aged coppice system. Maiden cut of coppice coupes </t>
  </si>
  <si>
    <t>H4</t>
  </si>
  <si>
    <t>Pond Restoration (first 100m sq. m)</t>
  </si>
  <si>
    <t>m2</t>
  </si>
  <si>
    <t>Clearance of reed, scrub and silt from existing ponds</t>
  </si>
  <si>
    <t>H5</t>
  </si>
  <si>
    <t>Pond Restoration (&gt;100 sq. m)</t>
  </si>
  <si>
    <t>Payment to cover anything over the initial 100 sq. m</t>
  </si>
  <si>
    <t>H6</t>
  </si>
  <si>
    <t>Creation of Deadwood</t>
  </si>
  <si>
    <t xml:space="preserve">Ring barking of at least 15 trees (greater than 15cm dbh) per hectare </t>
  </si>
  <si>
    <t>H7</t>
  </si>
  <si>
    <t>Veteranisation of trees</t>
  </si>
  <si>
    <t>Deliberate damage to at least 5 trees per Hectare to replicate features such as lightning strikes, branch failure and woodpecker holes.</t>
  </si>
  <si>
    <t xml:space="preserve">Hedge Laying </t>
  </si>
  <si>
    <t xml:space="preserve">The laying of hedgerow to create a dense low lying barrier. </t>
  </si>
  <si>
    <t>H9</t>
  </si>
  <si>
    <t xml:space="preserve">Hedgerow Coppicing </t>
  </si>
  <si>
    <t xml:space="preserve">Coppicing of poorly formed Hedgerow will rejuvinate growth and form. </t>
  </si>
  <si>
    <t>H10</t>
  </si>
  <si>
    <t xml:space="preserve">Hedgerow Gapping Up </t>
  </si>
  <si>
    <t xml:space="preserve">The filling in of gaps in hedgerow to create a continuous corridor for wildlife. </t>
  </si>
  <si>
    <t>H11</t>
  </si>
  <si>
    <r>
      <t xml:space="preserve">Annual Polinator Mix </t>
    </r>
    <r>
      <rPr>
        <b/>
        <u/>
        <sz val="11"/>
        <color theme="1"/>
        <rFont val="Calibri"/>
        <family val="2"/>
        <scheme val="minor"/>
      </rPr>
      <t>(5 year total)</t>
    </r>
  </si>
  <si>
    <t>Ha</t>
  </si>
  <si>
    <t>To create an area of flowering plants which will provide essential  food sources for pollinators and invertibrates.</t>
  </si>
  <si>
    <t>H12a</t>
  </si>
  <si>
    <t>Fencing - Post and Wire</t>
  </si>
  <si>
    <t>Fencing to control the movement of stock and therefore provide a habitat benefit</t>
  </si>
  <si>
    <t xml:space="preserve">Fencing - Sheep Netting </t>
  </si>
  <si>
    <t>H12c</t>
  </si>
  <si>
    <t xml:space="preserve">Fencing - Permanent Electric/Clipex </t>
  </si>
  <si>
    <t>H12d</t>
  </si>
  <si>
    <t xml:space="preserve">Fencing - Temporary Electric Fencing </t>
  </si>
  <si>
    <t>H12e</t>
  </si>
  <si>
    <t>Fencing - Metal Gate</t>
  </si>
  <si>
    <t>Gate</t>
  </si>
  <si>
    <t xml:space="preserve">To allow access to fenced areas </t>
  </si>
  <si>
    <t>Fencing - Wooden Gate</t>
  </si>
  <si>
    <t>H13</t>
  </si>
  <si>
    <r>
      <t xml:space="preserve">Arable Grass Margins 6m+ </t>
    </r>
    <r>
      <rPr>
        <b/>
        <u/>
        <sz val="11"/>
        <color theme="1"/>
        <rFont val="Calibri"/>
        <family val="2"/>
        <scheme val="minor"/>
      </rPr>
      <t>(5 year total)</t>
    </r>
  </si>
  <si>
    <t>The creation of 6m+ buffer strips around arable fields to provide habitat and capture run off.</t>
  </si>
  <si>
    <t>H14a</t>
  </si>
  <si>
    <r>
      <t>Riverside Grass Margins in Grass Fields - 15m</t>
    </r>
    <r>
      <rPr>
        <sz val="11"/>
        <rFont val="Calibri"/>
        <family val="2"/>
        <scheme val="minor"/>
      </rPr>
      <t xml:space="preserve"> </t>
    </r>
    <r>
      <rPr>
        <b/>
        <u/>
        <sz val="11"/>
        <rFont val="Calibri"/>
        <family val="2"/>
        <scheme val="minor"/>
      </rPr>
      <t>(5 year total)</t>
    </r>
  </si>
  <si>
    <t xml:space="preserve">Riverside Margins will create undsiturbed habitats for wildlife adjacent to watercourses, whilst also protecting the banks from erosion. </t>
  </si>
  <si>
    <r>
      <t xml:space="preserve">Riverside Grass Margins in Grass Fields - 30m </t>
    </r>
    <r>
      <rPr>
        <b/>
        <u/>
        <sz val="11"/>
        <color theme="1"/>
        <rFont val="Calibri"/>
        <family val="2"/>
        <scheme val="minor"/>
      </rPr>
      <t>(5 year total)</t>
    </r>
  </si>
  <si>
    <t>Restoration Towards Species Rich Grassland</t>
  </si>
  <si>
    <t xml:space="preserve">Increase the number and frequency of important plant species in existing grassland. </t>
  </si>
  <si>
    <t>H16</t>
  </si>
  <si>
    <t>Creation of Species Rich Grassland</t>
  </si>
  <si>
    <t xml:space="preserve">Create priority grasslands and establish a wide range of important plant species. </t>
  </si>
  <si>
    <t>H17</t>
  </si>
  <si>
    <t>Restoration of Forestry and Woodland to Lowland Heath</t>
  </si>
  <si>
    <t xml:space="preserve">Re-establish lowland heathland on forested land or land recently (since 1900) colonised by woodland. </t>
  </si>
  <si>
    <t>H18</t>
  </si>
  <si>
    <t xml:space="preserve">Restoration of Woodpasture and Parkland </t>
  </si>
  <si>
    <t>Restoration of existing lowland wood pasture and parkland on sites that support veteran trees or parkland features.</t>
  </si>
  <si>
    <t>S1</t>
  </si>
  <si>
    <r>
      <t xml:space="preserve">Anthrapod Banks </t>
    </r>
    <r>
      <rPr>
        <b/>
        <u/>
        <sz val="11"/>
        <color theme="1"/>
        <rFont val="Calibri"/>
        <family val="2"/>
        <scheme val="minor"/>
      </rPr>
      <t>(5 year total)</t>
    </r>
  </si>
  <si>
    <t xml:space="preserve">Provision of raised grass areas which mimic the dense, tussocky grass cover of traditional hedgerows, providing a habitat for invertebrates and farmland birds to forage and nest in. </t>
  </si>
  <si>
    <t>S2</t>
  </si>
  <si>
    <t xml:space="preserve">Creation of Wet Grassland for Waders and Wildfowl </t>
  </si>
  <si>
    <t xml:space="preserve">Creation of wet grassland for breeding wading birds from arable or temporary grassland.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</si>
</sst>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2" x14ac:knownFonts="1">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sz val="12"/>
      <name val="Calibri"/>
      <family val="2"/>
      <scheme val="minor"/>
    </font>
    <font>
      <b/>
      <sz val="11"/>
      <name val="Calibri"/>
      <family val="2"/>
      <scheme val="minor"/>
    </font>
    <font>
      <b/>
      <u/>
      <sz val="14"/>
      <name val="Calibri"/>
      <family val="2"/>
      <scheme val="minor"/>
    </font>
    <font>
      <b/>
      <sz val="18"/>
      <color theme="1"/>
      <name val="Calibri"/>
      <family val="2"/>
      <scheme val="minor"/>
    </font>
    <font>
      <b/>
      <u/>
      <sz val="11"/>
      <color theme="1"/>
      <name val="Calibri"/>
      <family val="2"/>
      <scheme val="minor"/>
    </font>
    <font>
      <b/>
      <u/>
      <sz val="11"/>
      <name val="Calibri"/>
      <family val="2"/>
      <scheme val="minor"/>
    </font>
    <font>
      <sz val="10"/>
      <name val="Calibri"/>
      <family val="2"/>
      <scheme val="minor"/>
    </font>
    <font>
      <b/>
      <u/>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6"/>
        <bgColor indexed="64"/>
      </patternFill>
    </fill>
    <fill>
      <patternFill patternType="solid">
        <fgColor theme="9"/>
        <bgColor indexed="64"/>
      </patternFill>
    </fill>
    <fill>
      <patternFill patternType="solid">
        <fgColor theme="6" tint="0.79998168889431442"/>
        <bgColor indexed="64"/>
      </patternFill>
    </fill>
  </fills>
  <borders count="36">
    <border>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183">
    <xf numFmtId="0" fontId="0" fillId="0" borderId="0" xfId="0"/>
    <xf numFmtId="0" fontId="0" fillId="2" borderId="0" xfId="0" applyFill="1"/>
    <xf numFmtId="0" fontId="0" fillId="3" borderId="10" xfId="0" applyFill="1" applyBorder="1" applyAlignment="1" applyProtection="1">
      <alignment horizontal="center" vertical="center" wrapText="1"/>
      <protection locked="0"/>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vertical="center" wrapText="1"/>
    </xf>
    <xf numFmtId="0" fontId="5" fillId="2" borderId="0" xfId="0" applyFont="1" applyFill="1" applyAlignment="1">
      <alignment horizontal="center" vertical="center"/>
    </xf>
    <xf numFmtId="44" fontId="0" fillId="5" borderId="10" xfId="0" applyNumberFormat="1" applyFill="1" applyBorder="1"/>
    <xf numFmtId="0" fontId="0" fillId="2" borderId="21" xfId="0" applyFill="1" applyBorder="1"/>
    <xf numFmtId="0" fontId="0" fillId="6" borderId="10" xfId="0" applyFill="1" applyBorder="1"/>
    <xf numFmtId="44" fontId="0" fillId="6" borderId="10" xfId="0" applyNumberFormat="1" applyFill="1" applyBorder="1"/>
    <xf numFmtId="0" fontId="0" fillId="2" borderId="0" xfId="0" applyFill="1" applyAlignment="1">
      <alignment horizontal="left" vertical="center"/>
    </xf>
    <xf numFmtId="0" fontId="0" fillId="2" borderId="0" xfId="0" applyFill="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2" borderId="0" xfId="0" applyFill="1" applyAlignment="1">
      <alignment horizontal="right" vertical="center"/>
    </xf>
    <xf numFmtId="0" fontId="2" fillId="2" borderId="1" xfId="0" applyFont="1" applyFill="1" applyBorder="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xf>
    <xf numFmtId="0" fontId="2" fillId="2" borderId="13" xfId="0" applyFont="1" applyFill="1" applyBorder="1" applyAlignment="1" applyProtection="1">
      <alignment vertical="center" wrapText="1"/>
      <protection locked="0"/>
    </xf>
    <xf numFmtId="0" fontId="2" fillId="2" borderId="0" xfId="0" applyFont="1" applyFill="1" applyAlignment="1">
      <alignment vertical="center" wrapText="1"/>
    </xf>
    <xf numFmtId="0" fontId="2" fillId="2" borderId="4" xfId="0" applyFont="1" applyFill="1" applyBorder="1" applyAlignment="1">
      <alignment vertical="center"/>
    </xf>
    <xf numFmtId="0" fontId="2" fillId="2" borderId="3" xfId="0" applyFont="1" applyFill="1" applyBorder="1" applyAlignment="1">
      <alignmen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 fillId="0" borderId="8" xfId="0" applyFont="1" applyBorder="1" applyAlignment="1">
      <alignment vertical="center" wrapText="1"/>
    </xf>
    <xf numFmtId="0" fontId="2" fillId="3" borderId="8"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left" vertical="center" wrapText="1"/>
      <protection locked="0"/>
    </xf>
    <xf numFmtId="3" fontId="2" fillId="3" borderId="10" xfId="0" applyNumberFormat="1" applyFont="1" applyFill="1" applyBorder="1" applyAlignment="1" applyProtection="1">
      <alignment horizontal="left" vertical="center" wrapText="1"/>
      <protection locked="0"/>
    </xf>
    <xf numFmtId="0" fontId="2" fillId="2" borderId="10" xfId="0" applyFont="1" applyFill="1" applyBorder="1" applyAlignment="1">
      <alignment horizontal="left" vertical="center"/>
    </xf>
    <xf numFmtId="44" fontId="2" fillId="2" borderId="9" xfId="0" applyNumberFormat="1" applyFont="1" applyFill="1" applyBorder="1" applyAlignment="1">
      <alignment horizontal="left" vertical="center"/>
    </xf>
    <xf numFmtId="3" fontId="2" fillId="3" borderId="13" xfId="0" applyNumberFormat="1" applyFont="1" applyFill="1" applyBorder="1" applyAlignment="1" applyProtection="1">
      <alignment horizontal="left" vertical="center" wrapText="1"/>
      <protection locked="0"/>
    </xf>
    <xf numFmtId="44" fontId="2" fillId="2" borderId="0" xfId="0" applyNumberFormat="1" applyFont="1" applyFill="1" applyAlignment="1">
      <alignment horizontal="center" vertical="center"/>
    </xf>
    <xf numFmtId="0" fontId="2" fillId="2" borderId="0" xfId="0" applyFont="1" applyFill="1" applyAlignment="1">
      <alignment horizontal="left" vertical="center"/>
    </xf>
    <xf numFmtId="44" fontId="2" fillId="2" borderId="4" xfId="0" applyNumberFormat="1" applyFont="1" applyFill="1" applyBorder="1" applyAlignment="1">
      <alignment horizontal="left" vertical="center"/>
    </xf>
    <xf numFmtId="0" fontId="5" fillId="2" borderId="20" xfId="0" applyFont="1" applyFill="1" applyBorder="1" applyAlignment="1">
      <alignment horizontal="center" vertical="center"/>
    </xf>
    <xf numFmtId="44" fontId="2" fillId="3" borderId="10" xfId="0" applyNumberFormat="1" applyFont="1" applyFill="1" applyBorder="1" applyAlignment="1" applyProtection="1">
      <alignment horizontal="center" vertical="center" wrapText="1"/>
      <protection locked="0"/>
    </xf>
    <xf numFmtId="44" fontId="2" fillId="2" borderId="9" xfId="0" applyNumberFormat="1" applyFont="1" applyFill="1" applyBorder="1" applyAlignment="1">
      <alignment vertical="center"/>
    </xf>
    <xf numFmtId="0" fontId="5" fillId="2" borderId="21" xfId="0" applyFont="1" applyFill="1" applyBorder="1" applyAlignment="1">
      <alignment horizontal="center" vertical="center"/>
    </xf>
    <xf numFmtId="0" fontId="2" fillId="3" borderId="21" xfId="0" applyFont="1" applyFill="1" applyBorder="1" applyAlignment="1" applyProtection="1">
      <alignment horizontal="center" vertical="center" wrapText="1"/>
      <protection locked="0"/>
    </xf>
    <xf numFmtId="0" fontId="2" fillId="3" borderId="10" xfId="0" applyFont="1" applyFill="1" applyBorder="1" applyAlignment="1" applyProtection="1">
      <alignment vertical="center" wrapText="1"/>
      <protection locked="0"/>
    </xf>
    <xf numFmtId="0" fontId="0" fillId="0" borderId="13" xfId="0" applyBorder="1" applyAlignment="1">
      <alignment horizontal="left" vertical="center" wrapText="1"/>
    </xf>
    <xf numFmtId="0" fontId="0" fillId="0" borderId="22" xfId="0"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1" fillId="0" borderId="24" xfId="0" applyFont="1" applyBorder="1" applyAlignment="1">
      <alignment horizontal="left" vertical="center" wrapText="1"/>
    </xf>
    <xf numFmtId="0" fontId="2" fillId="3" borderId="13" xfId="0" applyFont="1" applyFill="1" applyBorder="1" applyAlignment="1" applyProtection="1">
      <alignment horizontal="center" vertical="center" wrapText="1"/>
      <protection locked="0"/>
    </xf>
    <xf numFmtId="0" fontId="2" fillId="3" borderId="11" xfId="0" applyFont="1" applyFill="1" applyBorder="1" applyAlignment="1" applyProtection="1">
      <alignment vertical="center"/>
      <protection locked="0"/>
    </xf>
    <xf numFmtId="0" fontId="2" fillId="3" borderId="11" xfId="0" applyFont="1" applyFill="1" applyBorder="1" applyAlignment="1" applyProtection="1">
      <alignment horizontal="center" vertical="center"/>
      <protection locked="0"/>
    </xf>
    <xf numFmtId="0" fontId="2" fillId="2" borderId="1" xfId="0" applyFont="1" applyFill="1" applyBorder="1" applyAlignment="1">
      <alignment vertical="center"/>
    </xf>
    <xf numFmtId="0" fontId="2" fillId="2" borderId="2" xfId="0" applyFont="1" applyFill="1" applyBorder="1" applyAlignment="1">
      <alignment vertical="center"/>
    </xf>
    <xf numFmtId="0" fontId="5" fillId="2" borderId="11" xfId="0" applyFont="1" applyFill="1" applyBorder="1" applyAlignment="1">
      <alignment horizontal="center" vertical="center"/>
    </xf>
    <xf numFmtId="44" fontId="2" fillId="2" borderId="10" xfId="0" applyNumberFormat="1" applyFont="1" applyFill="1" applyBorder="1" applyAlignment="1">
      <alignment vertical="center"/>
    </xf>
    <xf numFmtId="0" fontId="2" fillId="2" borderId="5" xfId="0" applyFont="1" applyFill="1" applyBorder="1" applyAlignment="1">
      <alignment vertical="center"/>
    </xf>
    <xf numFmtId="44" fontId="2" fillId="2" borderId="0" xfId="0" applyNumberFormat="1" applyFont="1" applyFill="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9" fontId="5" fillId="2" borderId="0" xfId="0" applyNumberFormat="1" applyFont="1" applyFill="1" applyAlignment="1">
      <alignment vertical="center"/>
    </xf>
    <xf numFmtId="0" fontId="2" fillId="0" borderId="0" xfId="0" applyFont="1" applyAlignment="1">
      <alignment vertical="center"/>
    </xf>
    <xf numFmtId="164" fontId="2" fillId="2" borderId="0" xfId="0" applyNumberFormat="1" applyFont="1" applyFill="1" applyAlignment="1">
      <alignment vertical="center"/>
    </xf>
    <xf numFmtId="44" fontId="2" fillId="2" borderId="10" xfId="0" applyNumberFormat="1" applyFont="1" applyFill="1" applyBorder="1" applyAlignment="1">
      <alignment horizontal="right" vertical="center"/>
    </xf>
    <xf numFmtId="44" fontId="2" fillId="2" borderId="9" xfId="0" applyNumberFormat="1" applyFont="1" applyFill="1" applyBorder="1" applyAlignment="1">
      <alignment horizontal="right" vertical="center"/>
    </xf>
    <xf numFmtId="0" fontId="2" fillId="3" borderId="8" xfId="0" applyFont="1" applyFill="1" applyBorder="1" applyAlignment="1" applyProtection="1">
      <alignment vertical="center"/>
      <protection locked="0"/>
    </xf>
    <xf numFmtId="0" fontId="4" fillId="2" borderId="0" xfId="0" applyFont="1" applyFill="1" applyAlignment="1">
      <alignment vertical="center" wrapText="1"/>
    </xf>
    <xf numFmtId="44" fontId="5" fillId="4" borderId="10" xfId="0" applyNumberFormat="1" applyFont="1" applyFill="1" applyBorder="1" applyAlignment="1">
      <alignment vertical="center"/>
    </xf>
    <xf numFmtId="44" fontId="5" fillId="4" borderId="9" xfId="0" applyNumberFormat="1" applyFont="1" applyFill="1" applyBorder="1" applyAlignment="1">
      <alignment horizontal="left" vertical="center"/>
    </xf>
    <xf numFmtId="0" fontId="5" fillId="4" borderId="10" xfId="0" applyFont="1" applyFill="1" applyBorder="1" applyAlignment="1">
      <alignment vertical="center"/>
    </xf>
    <xf numFmtId="44" fontId="5" fillId="2" borderId="4" xfId="0" applyNumberFormat="1" applyFont="1" applyFill="1" applyBorder="1" applyAlignment="1">
      <alignment horizontal="left" vertical="center"/>
    </xf>
    <xf numFmtId="0" fontId="0" fillId="3" borderId="21" xfId="0" applyFill="1" applyBorder="1" applyAlignment="1" applyProtection="1">
      <alignment horizontal="center" vertical="center" wrapText="1"/>
      <protection locked="0"/>
    </xf>
    <xf numFmtId="44" fontId="0" fillId="3" borderId="10" xfId="0" applyNumberFormat="1" applyFill="1" applyBorder="1" applyAlignment="1" applyProtection="1">
      <alignment horizontal="center" vertical="center" wrapText="1"/>
      <protection locked="0"/>
    </xf>
    <xf numFmtId="0" fontId="0" fillId="3" borderId="10" xfId="0" applyFill="1" applyBorder="1" applyAlignment="1" applyProtection="1">
      <alignment vertical="center" wrapText="1"/>
      <protection locked="0"/>
    </xf>
    <xf numFmtId="44" fontId="5" fillId="4" borderId="9" xfId="0" applyNumberFormat="1" applyFont="1" applyFill="1" applyBorder="1" applyAlignment="1">
      <alignment vertical="center"/>
    </xf>
    <xf numFmtId="44" fontId="5" fillId="4" borderId="14" xfId="0" applyNumberFormat="1" applyFont="1" applyFill="1" applyBorder="1" applyAlignment="1">
      <alignment horizontal="left" vertical="center"/>
    </xf>
    <xf numFmtId="0" fontId="5" fillId="2" borderId="0" xfId="0" applyFont="1" applyFill="1" applyAlignment="1">
      <alignment vertical="center" wrapText="1"/>
    </xf>
    <xf numFmtId="0" fontId="0" fillId="0" borderId="8" xfId="0" applyBorder="1" applyAlignment="1">
      <alignment horizontal="center" vertical="center" wrapText="1"/>
    </xf>
    <xf numFmtId="44" fontId="0" fillId="0" borderId="13" xfId="0" applyNumberFormat="1" applyBorder="1" applyAlignment="1">
      <alignment horizontal="right" vertical="center" wrapText="1"/>
    </xf>
    <xf numFmtId="0" fontId="1" fillId="2" borderId="0" xfId="0" applyFont="1" applyFill="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left" vertical="center" wrapText="1"/>
    </xf>
    <xf numFmtId="0" fontId="1" fillId="0" borderId="33" xfId="0" applyFont="1" applyBorder="1" applyAlignment="1">
      <alignment horizontal="center" vertical="center" wrapText="1"/>
    </xf>
    <xf numFmtId="0" fontId="1" fillId="0" borderId="24" xfId="0" applyFont="1" applyBorder="1" applyAlignment="1">
      <alignment horizontal="center" vertical="center" wrapText="1"/>
    </xf>
    <xf numFmtId="44" fontId="0" fillId="2" borderId="0" xfId="0" applyNumberFormat="1" applyFill="1" applyAlignment="1">
      <alignment vertical="center" wrapText="1"/>
    </xf>
    <xf numFmtId="0" fontId="0" fillId="0" borderId="23" xfId="0" applyBorder="1" applyAlignment="1">
      <alignment horizontal="center" vertical="center" wrapText="1"/>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2" fillId="2" borderId="13" xfId="0" applyFont="1" applyFill="1" applyBorder="1" applyAlignment="1">
      <alignment vertical="center" wrapText="1"/>
    </xf>
    <xf numFmtId="0" fontId="0" fillId="0" borderId="21" xfId="0" applyBorder="1" applyAlignment="1">
      <alignment horizontal="center" vertical="center" wrapText="1"/>
    </xf>
    <xf numFmtId="0" fontId="0" fillId="7" borderId="8" xfId="0" applyFill="1" applyBorder="1" applyAlignment="1">
      <alignment horizontal="center" vertical="center" wrapText="1"/>
    </xf>
    <xf numFmtId="0" fontId="0" fillId="8" borderId="8" xfId="0" applyFill="1" applyBorder="1" applyAlignment="1">
      <alignment horizontal="center" vertical="center" wrapText="1"/>
    </xf>
    <xf numFmtId="0" fontId="0" fillId="9" borderId="8" xfId="0" applyFill="1" applyBorder="1" applyAlignment="1">
      <alignment horizontal="center" vertical="center" wrapText="1"/>
    </xf>
    <xf numFmtId="0" fontId="0" fillId="10" borderId="8" xfId="0" applyFill="1" applyBorder="1" applyAlignment="1">
      <alignment horizontal="center" vertical="center" wrapText="1"/>
    </xf>
    <xf numFmtId="0" fontId="4" fillId="11" borderId="26" xfId="0" applyFont="1" applyFill="1" applyBorder="1" applyAlignment="1">
      <alignment vertical="center" wrapText="1"/>
    </xf>
    <xf numFmtId="0" fontId="7" fillId="9" borderId="6" xfId="0" applyFont="1" applyFill="1" applyBorder="1" applyAlignment="1">
      <alignment vertical="center" wrapText="1"/>
    </xf>
    <xf numFmtId="0" fontId="4" fillId="8" borderId="27" xfId="0" applyFont="1" applyFill="1" applyBorder="1" applyAlignment="1">
      <alignment vertical="center" wrapText="1"/>
    </xf>
    <xf numFmtId="0" fontId="4" fillId="12" borderId="28" xfId="0" applyFont="1" applyFill="1" applyBorder="1" applyAlignment="1">
      <alignment vertical="center" wrapText="1"/>
    </xf>
    <xf numFmtId="49" fontId="2" fillId="0" borderId="0" xfId="0" applyNumberFormat="1" applyFont="1" applyAlignment="1">
      <alignment vertical="center"/>
    </xf>
    <xf numFmtId="0" fontId="1" fillId="0" borderId="0" xfId="0" applyFont="1" applyAlignment="1">
      <alignment horizontal="left" vertical="center"/>
    </xf>
    <xf numFmtId="49" fontId="2" fillId="0" borderId="0" xfId="0" applyNumberFormat="1" applyFont="1" applyAlignment="1">
      <alignment vertical="center" wrapText="1"/>
    </xf>
    <xf numFmtId="49" fontId="4" fillId="0" borderId="0" xfId="0" applyNumberFormat="1" applyFont="1" applyAlignment="1">
      <alignment vertical="center"/>
    </xf>
    <xf numFmtId="0" fontId="2" fillId="13" borderId="15" xfId="0" applyFont="1" applyFill="1" applyBorder="1" applyAlignment="1">
      <alignment vertical="center" wrapText="1"/>
    </xf>
    <xf numFmtId="49" fontId="2" fillId="13" borderId="15" xfId="0" applyNumberFormat="1" applyFont="1" applyFill="1" applyBorder="1" applyAlignment="1">
      <alignment vertical="center" wrapText="1"/>
    </xf>
    <xf numFmtId="0" fontId="1" fillId="13" borderId="11" xfId="0" applyFont="1" applyFill="1" applyBorder="1" applyAlignment="1">
      <alignment horizontal="left" vertical="center"/>
    </xf>
    <xf numFmtId="49" fontId="2" fillId="13" borderId="9" xfId="0" applyNumberFormat="1" applyFont="1" applyFill="1" applyBorder="1" applyAlignment="1">
      <alignment vertical="center" wrapText="1"/>
    </xf>
    <xf numFmtId="0" fontId="1" fillId="13" borderId="5" xfId="0" applyFont="1" applyFill="1" applyBorder="1" applyAlignment="1">
      <alignment horizontal="left" vertical="center"/>
    </xf>
    <xf numFmtId="49" fontId="2" fillId="13" borderId="4" xfId="0" applyNumberFormat="1" applyFont="1" applyFill="1" applyBorder="1" applyAlignment="1">
      <alignment vertical="center" wrapText="1"/>
    </xf>
    <xf numFmtId="0" fontId="2" fillId="13" borderId="9" xfId="0" applyFont="1" applyFill="1" applyBorder="1" applyAlignment="1">
      <alignment vertical="center" wrapText="1"/>
    </xf>
    <xf numFmtId="0" fontId="2" fillId="13" borderId="4" xfId="0" applyFont="1" applyFill="1" applyBorder="1" applyAlignment="1">
      <alignment vertical="center" wrapText="1"/>
    </xf>
    <xf numFmtId="0" fontId="1" fillId="13" borderId="17" xfId="0" applyFont="1" applyFill="1" applyBorder="1" applyAlignment="1">
      <alignment horizontal="left" vertical="center"/>
    </xf>
    <xf numFmtId="49" fontId="2" fillId="13" borderId="18" xfId="0" applyNumberFormat="1" applyFont="1" applyFill="1" applyBorder="1" applyAlignment="1">
      <alignment vertical="center" wrapText="1"/>
    </xf>
    <xf numFmtId="49" fontId="2" fillId="13" borderId="19" xfId="0" applyNumberFormat="1" applyFont="1" applyFill="1" applyBorder="1" applyAlignment="1">
      <alignment vertical="center" wrapText="1"/>
    </xf>
    <xf numFmtId="49" fontId="2" fillId="13" borderId="5" xfId="0" applyNumberFormat="1" applyFont="1" applyFill="1" applyBorder="1" applyAlignment="1">
      <alignment vertical="center" wrapText="1"/>
    </xf>
    <xf numFmtId="49" fontId="5" fillId="13" borderId="11" xfId="0" applyNumberFormat="1" applyFont="1" applyFill="1" applyBorder="1" applyAlignment="1">
      <alignment vertical="center" wrapText="1"/>
    </xf>
    <xf numFmtId="0" fontId="1" fillId="13" borderId="12" xfId="0" applyFont="1" applyFill="1" applyBorder="1" applyAlignment="1">
      <alignment horizontal="left" vertical="center"/>
    </xf>
    <xf numFmtId="49" fontId="2" fillId="13" borderId="14" xfId="0" applyNumberFormat="1" applyFont="1" applyFill="1" applyBorder="1" applyAlignment="1">
      <alignment vertical="center" wrapText="1"/>
    </xf>
    <xf numFmtId="49" fontId="2" fillId="13" borderId="5" xfId="0" applyNumberFormat="1" applyFont="1" applyFill="1" applyBorder="1" applyAlignment="1">
      <alignment vertical="center"/>
    </xf>
    <xf numFmtId="49" fontId="5" fillId="13" borderId="11" xfId="0" applyNumberFormat="1" applyFont="1" applyFill="1" applyBorder="1" applyAlignment="1">
      <alignment vertical="center"/>
    </xf>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30" xfId="0" applyFill="1" applyBorder="1"/>
    <xf numFmtId="0" fontId="0" fillId="5" borderId="10" xfId="0" applyFill="1" applyBorder="1" applyAlignment="1">
      <alignment horizontal="left" indent="1"/>
    </xf>
    <xf numFmtId="0" fontId="0" fillId="6" borderId="10" xfId="0" applyFill="1" applyBorder="1" applyAlignment="1">
      <alignment horizontal="left" indent="1"/>
    </xf>
    <xf numFmtId="49" fontId="6" fillId="13" borderId="26" xfId="0" applyNumberFormat="1" applyFont="1" applyFill="1" applyBorder="1" applyAlignment="1">
      <alignment horizontal="center" vertical="center" wrapText="1"/>
    </xf>
    <xf numFmtId="49" fontId="6" fillId="13" borderId="2" xfId="0" applyNumberFormat="1" applyFont="1" applyFill="1" applyBorder="1" applyAlignment="1">
      <alignment horizontal="center" vertical="center" wrapText="1"/>
    </xf>
    <xf numFmtId="49" fontId="6" fillId="13" borderId="27" xfId="0" applyNumberFormat="1" applyFont="1" applyFill="1" applyBorder="1" applyAlignment="1">
      <alignment horizontal="center" vertical="center" wrapText="1"/>
    </xf>
    <xf numFmtId="49" fontId="6" fillId="13" borderId="4" xfId="0" applyNumberFormat="1" applyFont="1" applyFill="1" applyBorder="1" applyAlignment="1">
      <alignment horizontal="center" vertical="center" wrapText="1"/>
    </xf>
    <xf numFmtId="49" fontId="5" fillId="13" borderId="28" xfId="0" applyNumberFormat="1" applyFont="1" applyFill="1" applyBorder="1" applyAlignment="1">
      <alignment horizontal="left" vertical="center" wrapText="1"/>
    </xf>
    <xf numFmtId="49" fontId="5" fillId="13" borderId="5" xfId="0" applyNumberFormat="1" applyFont="1" applyFill="1" applyBorder="1" applyAlignment="1">
      <alignment horizontal="left" vertical="center" wrapText="1"/>
    </xf>
    <xf numFmtId="49" fontId="5" fillId="13" borderId="29" xfId="0" applyNumberFormat="1" applyFont="1" applyFill="1" applyBorder="1" applyAlignment="1">
      <alignment horizontal="left" vertical="center" wrapText="1"/>
    </xf>
    <xf numFmtId="0" fontId="2" fillId="13" borderId="16" xfId="0" applyFont="1" applyFill="1" applyBorder="1" applyAlignment="1">
      <alignment horizontal="left" vertical="center" wrapText="1"/>
    </xf>
    <xf numFmtId="0" fontId="2" fillId="13" borderId="15" xfId="0" applyFont="1" applyFill="1" applyBorder="1" applyAlignment="1">
      <alignment horizontal="left" vertical="center" wrapText="1"/>
    </xf>
    <xf numFmtId="49" fontId="6" fillId="13" borderId="6" xfId="0" applyNumberFormat="1" applyFont="1" applyFill="1" applyBorder="1" applyAlignment="1">
      <alignment horizontal="center" vertical="center" wrapText="1"/>
    </xf>
    <xf numFmtId="49" fontId="6" fillId="13" borderId="30" xfId="0" applyNumberFormat="1" applyFont="1" applyFill="1" applyBorder="1" applyAlignment="1">
      <alignment horizontal="center" vertical="center" wrapText="1"/>
    </xf>
    <xf numFmtId="0" fontId="11" fillId="2" borderId="26" xfId="0" applyFont="1" applyFill="1" applyBorder="1" applyAlignment="1">
      <alignment horizontal="center"/>
    </xf>
    <xf numFmtId="0" fontId="11" fillId="2" borderId="1" xfId="0" applyFont="1" applyFill="1" applyBorder="1" applyAlignment="1">
      <alignment horizontal="center"/>
    </xf>
    <xf numFmtId="0" fontId="11" fillId="2" borderId="2" xfId="0" applyFont="1" applyFill="1" applyBorder="1" applyAlignment="1">
      <alignment horizontal="center"/>
    </xf>
    <xf numFmtId="0" fontId="5" fillId="2" borderId="0" xfId="0" applyFont="1" applyFill="1" applyAlignment="1">
      <alignment horizontal="center" vertical="center"/>
    </xf>
    <xf numFmtId="0" fontId="5" fillId="4" borderId="10" xfId="0" applyFont="1" applyFill="1" applyBorder="1" applyAlignment="1">
      <alignment horizontal="center" vertical="center"/>
    </xf>
    <xf numFmtId="0" fontId="5" fillId="4" borderId="13" xfId="0" applyFont="1" applyFill="1" applyBorder="1" applyAlignment="1">
      <alignment horizontal="left" vertical="center"/>
    </xf>
    <xf numFmtId="0" fontId="5" fillId="4" borderId="8" xfId="0" applyFont="1" applyFill="1" applyBorder="1" applyAlignment="1">
      <alignment horizontal="left" vertical="center"/>
    </xf>
    <xf numFmtId="0" fontId="5" fillId="4" borderId="10" xfId="0" applyFont="1" applyFill="1" applyBorder="1" applyAlignment="1">
      <alignment horizontal="left" vertical="center"/>
    </xf>
    <xf numFmtId="0" fontId="5" fillId="4" borderId="31" xfId="0" applyFont="1" applyFill="1" applyBorder="1" applyAlignment="1">
      <alignment horizontal="left" vertical="center"/>
    </xf>
    <xf numFmtId="0" fontId="0" fillId="3" borderId="13"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32" xfId="0" applyFont="1" applyFill="1" applyBorder="1" applyAlignment="1" applyProtection="1">
      <alignment horizontal="left" vertical="center"/>
      <protection locked="0"/>
    </xf>
    <xf numFmtId="0" fontId="2" fillId="3" borderId="21"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5" fillId="2" borderId="11" xfId="0" applyFont="1" applyFill="1" applyBorder="1" applyAlignment="1">
      <alignment horizontal="left" vertical="center"/>
    </xf>
    <xf numFmtId="0" fontId="5" fillId="2" borderId="10" xfId="0" applyFont="1" applyFill="1" applyBorder="1" applyAlignment="1">
      <alignment horizontal="left" vertical="center"/>
    </xf>
    <xf numFmtId="0" fontId="5" fillId="2" borderId="13" xfId="0" applyFont="1" applyFill="1" applyBorder="1" applyAlignment="1">
      <alignment horizontal="left" vertical="center"/>
    </xf>
    <xf numFmtId="0" fontId="5" fillId="2" borderId="8" xfId="0" applyFont="1" applyFill="1" applyBorder="1" applyAlignment="1">
      <alignment horizontal="left"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5" fillId="4" borderId="13" xfId="0" applyFont="1" applyFill="1" applyBorder="1" applyAlignment="1">
      <alignment horizontal="center" vertical="center"/>
    </xf>
    <xf numFmtId="0" fontId="5" fillId="4" borderId="8" xfId="0" applyFont="1" applyFill="1" applyBorder="1" applyAlignment="1">
      <alignment horizontal="center" vertical="center"/>
    </xf>
    <xf numFmtId="0" fontId="5" fillId="2" borderId="32" xfId="0" applyFont="1" applyFill="1" applyBorder="1" applyAlignment="1">
      <alignment horizontal="left" vertical="center"/>
    </xf>
    <xf numFmtId="0" fontId="5" fillId="2" borderId="21" xfId="0" applyFont="1" applyFill="1" applyBorder="1" applyAlignment="1">
      <alignment horizontal="left" vertical="center"/>
    </xf>
    <xf numFmtId="0" fontId="5" fillId="2" borderId="1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2" fillId="3" borderId="10" xfId="0" applyFont="1" applyFill="1" applyBorder="1" applyAlignment="1" applyProtection="1">
      <alignment vertical="center" wrapText="1"/>
      <protection locked="0"/>
    </xf>
    <xf numFmtId="0" fontId="5" fillId="2" borderId="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 xfId="0" applyFont="1" applyFill="1" applyBorder="1" applyAlignment="1">
      <alignment horizontal="center" vertical="center"/>
    </xf>
    <xf numFmtId="0" fontId="2" fillId="3" borderId="10" xfId="0" applyFont="1" applyFill="1" applyBorder="1" applyAlignment="1" applyProtection="1">
      <alignment horizontal="left" vertical="center" wrapText="1"/>
      <protection locked="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35" xfId="0" applyFont="1" applyFill="1" applyBorder="1" applyAlignment="1">
      <alignment horizontal="center" vertical="center" wrapText="1"/>
    </xf>
  </cellXfs>
  <cellStyles count="1">
    <cellStyle name="Normal" xfId="0" builtinId="0"/>
  </cellStyles>
  <dxfs count="11">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34" formatCode="_-&quot;£&quot;* #,##0.00_-;\-&quot;£&quot;* #,##0.00_-;_-&quot;£&quot;* &quot;-&quot;??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medium">
          <color indexed="64"/>
        </left>
        <right style="medium">
          <color indexed="64"/>
        </right>
        <top style="medium">
          <color indexed="64"/>
        </top>
        <bottom style="thin">
          <color indexed="64"/>
        </bottom>
      </border>
    </dxf>
    <dxf>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1977390</xdr:colOff>
      <xdr:row>0</xdr:row>
      <xdr:rowOff>111131</xdr:rowOff>
    </xdr:from>
    <xdr:to>
      <xdr:col>2</xdr:col>
      <xdr:colOff>5353050</xdr:colOff>
      <xdr:row>3</xdr:row>
      <xdr:rowOff>84837</xdr:rowOff>
    </xdr:to>
    <xdr:pic>
      <xdr:nvPicPr>
        <xdr:cNvPr id="4" name="Picture 3">
          <a:extLst>
            <a:ext uri="{FF2B5EF4-FFF2-40B4-BE49-F238E27FC236}">
              <a16:creationId xmlns:a16="http://schemas.microsoft.com/office/drawing/2014/main" id="{8C0DD665-18F6-421B-A144-4F25E5EFB90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059" b="39154"/>
        <a:stretch/>
      </xdr:blipFill>
      <xdr:spPr bwMode="auto">
        <a:xfrm>
          <a:off x="3949065" y="111131"/>
          <a:ext cx="3375660" cy="516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15</xdr:row>
      <xdr:rowOff>0</xdr:rowOff>
    </xdr:from>
    <xdr:to>
      <xdr:col>11</xdr:col>
      <xdr:colOff>304800</xdr:colOff>
      <xdr:row>16</xdr:row>
      <xdr:rowOff>133350</xdr:rowOff>
    </xdr:to>
    <xdr:sp macro="" textlink="">
      <xdr:nvSpPr>
        <xdr:cNvPr id="2049" name="AutoShape 1">
          <a:extLst>
            <a:ext uri="{FF2B5EF4-FFF2-40B4-BE49-F238E27FC236}">
              <a16:creationId xmlns:a16="http://schemas.microsoft.com/office/drawing/2014/main" id="{695D286B-A418-4334-B956-2B0B32FF5B8F}"/>
            </a:ext>
          </a:extLst>
        </xdr:cNvPr>
        <xdr:cNvSpPr>
          <a:spLocks noChangeAspect="1" noChangeArrowheads="1"/>
        </xdr:cNvSpPr>
      </xdr:nvSpPr>
      <xdr:spPr bwMode="auto">
        <a:xfrm>
          <a:off x="10104120" y="243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14</xdr:row>
      <xdr:rowOff>0</xdr:rowOff>
    </xdr:from>
    <xdr:to>
      <xdr:col>8</xdr:col>
      <xdr:colOff>304800</xdr:colOff>
      <xdr:row>15</xdr:row>
      <xdr:rowOff>135255</xdr:rowOff>
    </xdr:to>
    <xdr:sp macro="" textlink="">
      <xdr:nvSpPr>
        <xdr:cNvPr id="2050" name="AutoShape 2">
          <a:extLst>
            <a:ext uri="{FF2B5EF4-FFF2-40B4-BE49-F238E27FC236}">
              <a16:creationId xmlns:a16="http://schemas.microsoft.com/office/drawing/2014/main" id="{C7441E52-2B5C-48AF-9D6E-B7027895A756}"/>
            </a:ext>
          </a:extLst>
        </xdr:cNvPr>
        <xdr:cNvSpPr>
          <a:spLocks noChangeAspect="1" noChangeArrowheads="1"/>
        </xdr:cNvSpPr>
      </xdr:nvSpPr>
      <xdr:spPr bwMode="auto">
        <a:xfrm>
          <a:off x="8229600" y="2255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14</xdr:row>
      <xdr:rowOff>0</xdr:rowOff>
    </xdr:from>
    <xdr:to>
      <xdr:col>5</xdr:col>
      <xdr:colOff>304800</xdr:colOff>
      <xdr:row>15</xdr:row>
      <xdr:rowOff>131445</xdr:rowOff>
    </xdr:to>
    <xdr:sp macro="" textlink="">
      <xdr:nvSpPr>
        <xdr:cNvPr id="2051" name="AutoShape 3">
          <a:extLst>
            <a:ext uri="{FF2B5EF4-FFF2-40B4-BE49-F238E27FC236}">
              <a16:creationId xmlns:a16="http://schemas.microsoft.com/office/drawing/2014/main" id="{42979AFF-B9C4-4DC8-A0E7-7026A61D34F8}"/>
            </a:ext>
          </a:extLst>
        </xdr:cNvPr>
        <xdr:cNvSpPr>
          <a:spLocks noChangeAspect="1" noChangeArrowheads="1"/>
        </xdr:cNvSpPr>
      </xdr:nvSpPr>
      <xdr:spPr bwMode="auto">
        <a:xfrm>
          <a:off x="4480560" y="2255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239584</xdr:colOff>
      <xdr:row>0</xdr:row>
      <xdr:rowOff>171729</xdr:rowOff>
    </xdr:from>
    <xdr:to>
      <xdr:col>4</xdr:col>
      <xdr:colOff>361504</xdr:colOff>
      <xdr:row>3</xdr:row>
      <xdr:rowOff>174010</xdr:rowOff>
    </xdr:to>
    <xdr:pic>
      <xdr:nvPicPr>
        <xdr:cNvPr id="7" name="Picture 6">
          <a:extLst>
            <a:ext uri="{FF2B5EF4-FFF2-40B4-BE49-F238E27FC236}">
              <a16:creationId xmlns:a16="http://schemas.microsoft.com/office/drawing/2014/main" id="{2B92E8A4-272A-41A4-A934-F243E9EB57A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059" b="39154"/>
        <a:stretch/>
      </xdr:blipFill>
      <xdr:spPr bwMode="auto">
        <a:xfrm>
          <a:off x="868234" y="171729"/>
          <a:ext cx="3373755" cy="541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967740</xdr:colOff>
      <xdr:row>1</xdr:row>
      <xdr:rowOff>91440</xdr:rowOff>
    </xdr:from>
    <xdr:to>
      <xdr:col>10</xdr:col>
      <xdr:colOff>1008930</xdr:colOff>
      <xdr:row>8</xdr:row>
      <xdr:rowOff>18281</xdr:rowOff>
    </xdr:to>
    <xdr:pic>
      <xdr:nvPicPr>
        <xdr:cNvPr id="4" name="Picture 3">
          <a:extLst>
            <a:ext uri="{FF2B5EF4-FFF2-40B4-BE49-F238E27FC236}">
              <a16:creationId xmlns:a16="http://schemas.microsoft.com/office/drawing/2014/main" id="{6E4A7B7F-9557-4F0D-9514-43591E2CEAE9}"/>
            </a:ext>
          </a:extLst>
        </xdr:cNvPr>
        <xdr:cNvPicPr>
          <a:picLocks noChangeAspect="1"/>
        </xdr:cNvPicPr>
      </xdr:nvPicPr>
      <xdr:blipFill rotWithShape="1">
        <a:blip xmlns:r="http://schemas.openxmlformats.org/officeDocument/2006/relationships" r:embed="rId1"/>
        <a:srcRect l="23437" t="24986" r="23437" b="24986"/>
        <a:stretch/>
      </xdr:blipFill>
      <xdr:spPr>
        <a:xfrm>
          <a:off x="13674090" y="281940"/>
          <a:ext cx="1765215" cy="12127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962025</xdr:colOff>
      <xdr:row>1</xdr:row>
      <xdr:rowOff>97155</xdr:rowOff>
    </xdr:from>
    <xdr:to>
      <xdr:col>10</xdr:col>
      <xdr:colOff>1007025</xdr:colOff>
      <xdr:row>8</xdr:row>
      <xdr:rowOff>16376</xdr:rowOff>
    </xdr:to>
    <xdr:pic>
      <xdr:nvPicPr>
        <xdr:cNvPr id="3" name="Picture 2">
          <a:extLst>
            <a:ext uri="{FF2B5EF4-FFF2-40B4-BE49-F238E27FC236}">
              <a16:creationId xmlns:a16="http://schemas.microsoft.com/office/drawing/2014/main" id="{7700FEC2-CC42-4E78-91BE-E13148B6298A}"/>
            </a:ext>
          </a:extLst>
        </xdr:cNvPr>
        <xdr:cNvPicPr>
          <a:picLocks noChangeAspect="1"/>
        </xdr:cNvPicPr>
      </xdr:nvPicPr>
      <xdr:blipFill rotWithShape="1">
        <a:blip xmlns:r="http://schemas.openxmlformats.org/officeDocument/2006/relationships" r:embed="rId1"/>
        <a:srcRect l="23437" t="24986" r="23437" b="24986"/>
        <a:stretch/>
      </xdr:blipFill>
      <xdr:spPr>
        <a:xfrm>
          <a:off x="13668375" y="287655"/>
          <a:ext cx="1769025" cy="12050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8562975</xdr:colOff>
      <xdr:row>1</xdr:row>
      <xdr:rowOff>95250</xdr:rowOff>
    </xdr:from>
    <xdr:to>
      <xdr:col>7</xdr:col>
      <xdr:colOff>3090</xdr:colOff>
      <xdr:row>4</xdr:row>
      <xdr:rowOff>239261</xdr:rowOff>
    </xdr:to>
    <xdr:pic>
      <xdr:nvPicPr>
        <xdr:cNvPr id="4" name="Picture 3">
          <a:extLst>
            <a:ext uri="{FF2B5EF4-FFF2-40B4-BE49-F238E27FC236}">
              <a16:creationId xmlns:a16="http://schemas.microsoft.com/office/drawing/2014/main" id="{5AA1FC06-2306-4810-B5D7-F60EAEF6C532}"/>
            </a:ext>
          </a:extLst>
        </xdr:cNvPr>
        <xdr:cNvPicPr>
          <a:picLocks noChangeAspect="1"/>
        </xdr:cNvPicPr>
      </xdr:nvPicPr>
      <xdr:blipFill rotWithShape="1">
        <a:blip xmlns:r="http://schemas.openxmlformats.org/officeDocument/2006/relationships" r:embed="rId1"/>
        <a:srcRect l="23437" t="24986" r="23437" b="24986"/>
        <a:stretch/>
      </xdr:blipFill>
      <xdr:spPr>
        <a:xfrm>
          <a:off x="15240000" y="304800"/>
          <a:ext cx="1774740" cy="121081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s" displayName="Costs" ref="B6:G55" totalsRowShown="0" headerRowDxfId="10" dataDxfId="8" headerRowBorderDxfId="9" tableBorderDxfId="7" totalsRowBorderDxfId="6">
  <tableColumns count="6">
    <tableColumn id="1" xr3:uid="{00000000-0010-0000-0000-000001000000}" name="Code" dataDxfId="5"/>
    <tableColumn id="2" xr3:uid="{00000000-0010-0000-0000-000002000000}" name="Type" dataDxfId="4"/>
    <tableColumn id="3" xr3:uid="{00000000-0010-0000-0000-000003000000}" name="Option" dataDxfId="3"/>
    <tableColumn id="4" xr3:uid="{00000000-0010-0000-0000-000004000000}" name="Unit" dataDxfId="2"/>
    <tableColumn id="5" xr3:uid="{00000000-0010-0000-0000-000005000000}" name="Cost" dataDxfId="1"/>
    <tableColumn id="6" xr3:uid="{00000000-0010-0000-0000-000006000000}" name="Specifica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C60"/>
  <sheetViews>
    <sheetView showGridLines="0" view="pageBreakPreview" zoomScale="60" zoomScaleNormal="100" workbookViewId="0">
      <pane ySplit="4" topLeftCell="A5" activePane="bottomLeft" state="frozen"/>
      <selection pane="bottomLeft" activeCell="H14" sqref="H14"/>
    </sheetView>
  </sheetViews>
  <sheetFormatPr defaultColWidth="11.42578125" defaultRowHeight="15" x14ac:dyDescent="0.25"/>
  <cols>
    <col min="1" max="1" width="3.28515625" style="99" customWidth="1"/>
    <col min="2" max="2" width="25.42578125" style="101" customWidth="1"/>
    <col min="3" max="3" width="133.28515625" style="101" customWidth="1"/>
    <col min="4" max="16384" width="11.42578125" style="99"/>
  </cols>
  <sheetData>
    <row r="4" spans="2:3" ht="15.75" thickBot="1" x14ac:dyDescent="0.3"/>
    <row r="5" spans="2:3" s="102" customFormat="1" ht="15.75" x14ac:dyDescent="0.25">
      <c r="B5" s="127" t="s">
        <v>0</v>
      </c>
      <c r="C5" s="128"/>
    </row>
    <row r="6" spans="2:3" x14ac:dyDescent="0.25">
      <c r="B6" s="129"/>
      <c r="C6" s="130"/>
    </row>
    <row r="7" spans="2:3" x14ac:dyDescent="0.25">
      <c r="B7" s="131" t="s">
        <v>1</v>
      </c>
      <c r="C7" s="134" t="s">
        <v>2</v>
      </c>
    </row>
    <row r="8" spans="2:3" x14ac:dyDescent="0.25">
      <c r="B8" s="132"/>
      <c r="C8" s="135"/>
    </row>
    <row r="9" spans="2:3" x14ac:dyDescent="0.25">
      <c r="B9" s="132"/>
      <c r="C9" s="103"/>
    </row>
    <row r="10" spans="2:3" ht="45" x14ac:dyDescent="0.25">
      <c r="B10" s="133"/>
      <c r="C10" s="103" t="s">
        <v>3</v>
      </c>
    </row>
    <row r="11" spans="2:3" x14ac:dyDescent="0.25">
      <c r="B11" s="133"/>
      <c r="C11" s="103"/>
    </row>
    <row r="12" spans="2:3" ht="30" x14ac:dyDescent="0.25">
      <c r="B12" s="133"/>
      <c r="C12" s="103" t="s">
        <v>4</v>
      </c>
    </row>
    <row r="13" spans="2:3" x14ac:dyDescent="0.25">
      <c r="B13" s="133"/>
      <c r="C13" s="104"/>
    </row>
    <row r="14" spans="2:3" x14ac:dyDescent="0.25">
      <c r="B14" s="105" t="s">
        <v>5</v>
      </c>
      <c r="C14" s="106" t="s">
        <v>6</v>
      </c>
    </row>
    <row r="15" spans="2:3" x14ac:dyDescent="0.25">
      <c r="B15" s="107"/>
      <c r="C15" s="108"/>
    </row>
    <row r="16" spans="2:3" x14ac:dyDescent="0.25">
      <c r="B16" s="105" t="s">
        <v>7</v>
      </c>
      <c r="C16" s="106" t="s">
        <v>8</v>
      </c>
    </row>
    <row r="17" spans="2:3" x14ac:dyDescent="0.25">
      <c r="B17" s="107"/>
      <c r="C17" s="108"/>
    </row>
    <row r="18" spans="2:3" ht="30.75" thickBot="1" x14ac:dyDescent="0.3">
      <c r="B18" s="116" t="s">
        <v>9</v>
      </c>
      <c r="C18" s="117" t="s">
        <v>10</v>
      </c>
    </row>
    <row r="19" spans="2:3" ht="15.75" thickBot="1" x14ac:dyDescent="0.3">
      <c r="B19" s="100"/>
    </row>
    <row r="20" spans="2:3" x14ac:dyDescent="0.25">
      <c r="B20" s="127" t="s">
        <v>11</v>
      </c>
      <c r="C20" s="128"/>
    </row>
    <row r="21" spans="2:3" ht="15.75" thickBot="1" x14ac:dyDescent="0.3">
      <c r="B21" s="136"/>
      <c r="C21" s="137"/>
    </row>
    <row r="22" spans="2:3" x14ac:dyDescent="0.25">
      <c r="B22" s="105" t="s">
        <v>12</v>
      </c>
      <c r="C22" s="106" t="s">
        <v>13</v>
      </c>
    </row>
    <row r="23" spans="2:3" x14ac:dyDescent="0.25">
      <c r="B23" s="107"/>
      <c r="C23" s="108"/>
    </row>
    <row r="24" spans="2:3" ht="30" x14ac:dyDescent="0.25">
      <c r="B24" s="105" t="s">
        <v>14</v>
      </c>
      <c r="C24" s="106" t="s">
        <v>15</v>
      </c>
    </row>
    <row r="25" spans="2:3" x14ac:dyDescent="0.25">
      <c r="B25" s="107"/>
      <c r="C25" s="108"/>
    </row>
    <row r="26" spans="2:3" x14ac:dyDescent="0.25">
      <c r="B26" s="105" t="s">
        <v>16</v>
      </c>
      <c r="C26" s="109" t="s">
        <v>17</v>
      </c>
    </row>
    <row r="27" spans="2:3" x14ac:dyDescent="0.25">
      <c r="B27" s="107"/>
      <c r="C27" s="110"/>
    </row>
    <row r="28" spans="2:3" x14ac:dyDescent="0.25">
      <c r="B28" s="105" t="s">
        <v>18</v>
      </c>
      <c r="C28" s="106" t="s">
        <v>19</v>
      </c>
    </row>
    <row r="29" spans="2:3" x14ac:dyDescent="0.25">
      <c r="B29" s="107"/>
      <c r="C29" s="108"/>
    </row>
    <row r="30" spans="2:3" ht="15.75" thickBot="1" x14ac:dyDescent="0.3">
      <c r="B30" s="116" t="s">
        <v>20</v>
      </c>
      <c r="C30" s="117" t="s">
        <v>21</v>
      </c>
    </row>
    <row r="31" spans="2:3" ht="15.75" thickBot="1" x14ac:dyDescent="0.3">
      <c r="B31" s="100"/>
    </row>
    <row r="32" spans="2:3" x14ac:dyDescent="0.25">
      <c r="B32" s="127" t="s">
        <v>22</v>
      </c>
      <c r="C32" s="128"/>
    </row>
    <row r="33" spans="2:3" ht="15.75" thickBot="1" x14ac:dyDescent="0.3">
      <c r="B33" s="136"/>
      <c r="C33" s="137"/>
    </row>
    <row r="34" spans="2:3" x14ac:dyDescent="0.25">
      <c r="B34" s="111" t="s">
        <v>22</v>
      </c>
      <c r="C34" s="112" t="s">
        <v>23</v>
      </c>
    </row>
    <row r="35" spans="2:3" x14ac:dyDescent="0.25">
      <c r="B35" s="107"/>
      <c r="C35" s="113"/>
    </row>
    <row r="36" spans="2:3" x14ac:dyDescent="0.25">
      <c r="B36" s="105" t="s">
        <v>16</v>
      </c>
      <c r="C36" s="109" t="s">
        <v>17</v>
      </c>
    </row>
    <row r="37" spans="2:3" x14ac:dyDescent="0.25">
      <c r="B37" s="107"/>
      <c r="C37" s="110"/>
    </row>
    <row r="38" spans="2:3" x14ac:dyDescent="0.25">
      <c r="B38" s="105" t="s">
        <v>18</v>
      </c>
      <c r="C38" s="106" t="s">
        <v>24</v>
      </c>
    </row>
    <row r="39" spans="2:3" x14ac:dyDescent="0.25">
      <c r="B39" s="114"/>
      <c r="C39" s="108"/>
    </row>
    <row r="40" spans="2:3" x14ac:dyDescent="0.25">
      <c r="B40" s="115" t="s">
        <v>25</v>
      </c>
      <c r="C40" s="106" t="s">
        <v>26</v>
      </c>
    </row>
    <row r="41" spans="2:3" x14ac:dyDescent="0.25">
      <c r="B41" s="114"/>
      <c r="C41" s="108"/>
    </row>
    <row r="42" spans="2:3" ht="15.75" thickBot="1" x14ac:dyDescent="0.3">
      <c r="B42" s="116" t="s">
        <v>27</v>
      </c>
      <c r="C42" s="117" t="s">
        <v>28</v>
      </c>
    </row>
    <row r="43" spans="2:3" ht="15.75" thickBot="1" x14ac:dyDescent="0.3">
      <c r="B43" s="100"/>
    </row>
    <row r="44" spans="2:3" x14ac:dyDescent="0.25">
      <c r="B44" s="127" t="s">
        <v>29</v>
      </c>
      <c r="C44" s="128"/>
    </row>
    <row r="45" spans="2:3" ht="15.75" thickBot="1" x14ac:dyDescent="0.3">
      <c r="B45" s="136"/>
      <c r="C45" s="137"/>
    </row>
    <row r="46" spans="2:3" x14ac:dyDescent="0.25">
      <c r="B46" s="111" t="s">
        <v>30</v>
      </c>
      <c r="C46" s="112" t="s">
        <v>31</v>
      </c>
    </row>
    <row r="47" spans="2:3" x14ac:dyDescent="0.25">
      <c r="B47" s="118"/>
      <c r="C47" s="108"/>
    </row>
    <row r="48" spans="2:3" ht="30" x14ac:dyDescent="0.25">
      <c r="B48" s="119" t="s">
        <v>32</v>
      </c>
      <c r="C48" s="106" t="s">
        <v>33</v>
      </c>
    </row>
    <row r="49" spans="2:3" x14ac:dyDescent="0.25">
      <c r="B49" s="118"/>
      <c r="C49" s="108"/>
    </row>
    <row r="50" spans="2:3" ht="30" x14ac:dyDescent="0.25">
      <c r="B50" s="119" t="s">
        <v>34</v>
      </c>
      <c r="C50" s="106" t="s">
        <v>35</v>
      </c>
    </row>
    <row r="51" spans="2:3" x14ac:dyDescent="0.25">
      <c r="B51" s="118"/>
      <c r="C51" s="108"/>
    </row>
    <row r="52" spans="2:3" ht="30" x14ac:dyDescent="0.25">
      <c r="B52" s="105" t="s">
        <v>14</v>
      </c>
      <c r="C52" s="106" t="s">
        <v>15</v>
      </c>
    </row>
    <row r="53" spans="2:3" x14ac:dyDescent="0.25">
      <c r="B53" s="107"/>
      <c r="C53" s="108"/>
    </row>
    <row r="54" spans="2:3" x14ac:dyDescent="0.25">
      <c r="B54" s="105" t="s">
        <v>16</v>
      </c>
      <c r="C54" s="109" t="s">
        <v>17</v>
      </c>
    </row>
    <row r="55" spans="2:3" x14ac:dyDescent="0.25">
      <c r="B55" s="107"/>
      <c r="C55" s="110"/>
    </row>
    <row r="56" spans="2:3" x14ac:dyDescent="0.25">
      <c r="B56" s="105" t="s">
        <v>18</v>
      </c>
      <c r="C56" s="106" t="s">
        <v>36</v>
      </c>
    </row>
    <row r="57" spans="2:3" x14ac:dyDescent="0.25">
      <c r="B57" s="114"/>
      <c r="C57" s="108"/>
    </row>
    <row r="58" spans="2:3" x14ac:dyDescent="0.25">
      <c r="B58" s="115" t="s">
        <v>25</v>
      </c>
      <c r="C58" s="106" t="s">
        <v>37</v>
      </c>
    </row>
    <row r="59" spans="2:3" x14ac:dyDescent="0.25">
      <c r="B59" s="114"/>
      <c r="C59" s="108"/>
    </row>
    <row r="60" spans="2:3" ht="15.75" thickBot="1" x14ac:dyDescent="0.3">
      <c r="B60" s="116" t="s">
        <v>27</v>
      </c>
      <c r="C60" s="117" t="s">
        <v>38</v>
      </c>
    </row>
  </sheetData>
  <sheetProtection algorithmName="SHA-512" hashValue="xXY8gBEblT+vdYdXr1mGFPZF83E18UIi2XuHNSB4FqyTMLZV2WM0rRs/YBsdjvLcGIAhga8Kjzpzpm7RiRZ2nw==" saltValue="YFFQtfw7dEFm7aUbSJ+o2w==" spinCount="100000" sheet="1" selectLockedCells="1"/>
  <mergeCells count="6">
    <mergeCell ref="B5:C6"/>
    <mergeCell ref="B7:B13"/>
    <mergeCell ref="C7:C8"/>
    <mergeCell ref="B20:C21"/>
    <mergeCell ref="B44:C45"/>
    <mergeCell ref="B32:C33"/>
  </mergeCells>
  <pageMargins left="0.7" right="0.7" top="0.75" bottom="0.75" header="0.3" footer="0.3"/>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5:P16"/>
  <sheetViews>
    <sheetView showGridLines="0" zoomScaleNormal="100" workbookViewId="0">
      <selection activeCell="B17" sqref="B17"/>
    </sheetView>
  </sheetViews>
  <sheetFormatPr defaultRowHeight="15" x14ac:dyDescent="0.25"/>
  <cols>
    <col min="1" max="2" width="9.140625" style="1" customWidth="1"/>
    <col min="3" max="3" width="27.42578125" style="1" bestFit="1" customWidth="1"/>
    <col min="4" max="4" width="10.5703125" style="1" bestFit="1" customWidth="1"/>
    <col min="5" max="16" width="9.140625" style="1" customWidth="1"/>
  </cols>
  <sheetData>
    <row r="5" spans="2:12" ht="15.75" thickBot="1" x14ac:dyDescent="0.3"/>
    <row r="6" spans="2:12" ht="33.75" customHeight="1" x14ac:dyDescent="0.3">
      <c r="B6" s="138" t="s">
        <v>39</v>
      </c>
      <c r="C6" s="139"/>
      <c r="D6" s="139"/>
      <c r="E6" s="140"/>
    </row>
    <row r="7" spans="2:12" x14ac:dyDescent="0.25">
      <c r="B7" s="120"/>
      <c r="E7" s="121"/>
    </row>
    <row r="8" spans="2:12" x14ac:dyDescent="0.25">
      <c r="B8" s="120"/>
      <c r="C8" s="125" t="s">
        <v>40</v>
      </c>
      <c r="D8" s="7">
        <f>Calculator!K48</f>
        <v>0</v>
      </c>
      <c r="E8" s="121"/>
    </row>
    <row r="9" spans="2:12" x14ac:dyDescent="0.25">
      <c r="B9" s="120"/>
      <c r="C9" s="125" t="s">
        <v>41</v>
      </c>
      <c r="D9" s="7">
        <f>Calculator!K49</f>
        <v>0</v>
      </c>
      <c r="E9" s="121"/>
    </row>
    <row r="10" spans="2:12" x14ac:dyDescent="0.25">
      <c r="B10" s="120"/>
      <c r="C10" s="125" t="s">
        <v>42</v>
      </c>
      <c r="D10" s="7">
        <f>Calculator!K50</f>
        <v>0</v>
      </c>
      <c r="E10" s="121"/>
    </row>
    <row r="11" spans="2:12" x14ac:dyDescent="0.25">
      <c r="B11" s="120"/>
      <c r="C11" s="8"/>
      <c r="D11" s="8"/>
      <c r="E11" s="121"/>
    </row>
    <row r="12" spans="2:12" x14ac:dyDescent="0.25">
      <c r="B12" s="120"/>
      <c r="C12" s="126" t="s">
        <v>43</v>
      </c>
      <c r="D12" s="9">
        <f>Calculator!D4</f>
        <v>0</v>
      </c>
      <c r="E12" s="121"/>
    </row>
    <row r="13" spans="2:12" x14ac:dyDescent="0.25">
      <c r="B13" s="120"/>
      <c r="C13" s="126" t="s">
        <v>44</v>
      </c>
      <c r="D13" s="10">
        <f>D10</f>
        <v>0</v>
      </c>
      <c r="E13" s="121"/>
    </row>
    <row r="14" spans="2:12" x14ac:dyDescent="0.25">
      <c r="B14" s="120"/>
      <c r="C14" s="126" t="s">
        <v>45</v>
      </c>
      <c r="D14" s="9" t="str">
        <f>IFERROR(D13/D12,"")</f>
        <v/>
      </c>
      <c r="E14" s="121"/>
    </row>
    <row r="15" spans="2:12" x14ac:dyDescent="0.25">
      <c r="B15" s="120"/>
      <c r="E15" s="121"/>
      <c r="I15"/>
    </row>
    <row r="16" spans="2:12" ht="15.75" thickBot="1" x14ac:dyDescent="0.3">
      <c r="B16" s="122"/>
      <c r="C16" s="123"/>
      <c r="D16" s="123"/>
      <c r="E16" s="124"/>
      <c r="L16"/>
    </row>
  </sheetData>
  <sheetProtection algorithmName="SHA-512" hashValue="1B7a2W3J+sDBi6AU9/4kXS+lFl1krYCvbIjowB7E2bSFusxJHY+uBWgkyrg9TEBQXXPM+K3qpgj8eC73y3JIoQ==" saltValue="USQQGDZQPlSZx1yFuR3u+A==" spinCount="100000" sheet="1" selectLockedCells="1"/>
  <mergeCells count="1">
    <mergeCell ref="B6:E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O81"/>
  <sheetViews>
    <sheetView showZeros="0" tabSelected="1" zoomScaleNormal="100" workbookViewId="0">
      <selection activeCell="F16" sqref="F16"/>
    </sheetView>
  </sheetViews>
  <sheetFormatPr defaultColWidth="11.42578125" defaultRowHeight="15" x14ac:dyDescent="0.25"/>
  <cols>
    <col min="1" max="1" width="4.7109375" style="20" customWidth="1"/>
    <col min="2" max="2" width="5.7109375" style="20" bestFit="1" customWidth="1"/>
    <col min="3" max="3" width="51.7109375" style="20" bestFit="1" customWidth="1"/>
    <col min="4" max="4" width="5.7109375" style="20" bestFit="1" customWidth="1"/>
    <col min="5" max="5" width="8.42578125" style="20" bestFit="1" customWidth="1"/>
    <col min="6" max="6" width="76.7109375" style="20" bestFit="1" customWidth="1"/>
    <col min="7" max="7" width="14.7109375" style="20" bestFit="1" customWidth="1"/>
    <col min="8" max="8" width="17.7109375" style="20" bestFit="1" customWidth="1"/>
    <col min="9" max="9" width="14.7109375" style="20" bestFit="1" customWidth="1"/>
    <col min="10" max="10" width="10.42578125" style="20" bestFit="1" customWidth="1"/>
    <col min="11" max="11" width="17.28515625" style="20" bestFit="1" customWidth="1"/>
    <col min="12" max="12" width="12.7109375" style="20" hidden="1" customWidth="1"/>
    <col min="13" max="13" width="6" style="20" hidden="1" customWidth="1"/>
    <col min="14" max="14" width="12" style="20" customWidth="1"/>
    <col min="15" max="15" width="15" style="20" customWidth="1"/>
    <col min="16" max="16384" width="11.42578125" style="20"/>
  </cols>
  <sheetData>
    <row r="1" spans="2:13" ht="15.75" thickBot="1" x14ac:dyDescent="0.3"/>
    <row r="2" spans="2:13" ht="15.75" x14ac:dyDescent="0.25">
      <c r="B2" s="170" t="s">
        <v>46</v>
      </c>
      <c r="C2" s="171"/>
      <c r="D2" s="171"/>
      <c r="E2" s="171"/>
      <c r="F2" s="171"/>
      <c r="G2" s="53"/>
      <c r="H2" s="53"/>
      <c r="I2" s="53"/>
      <c r="J2" s="18"/>
      <c r="K2" s="54"/>
    </row>
    <row r="3" spans="2:13" x14ac:dyDescent="0.25">
      <c r="B3" s="166" t="s">
        <v>47</v>
      </c>
      <c r="C3" s="167"/>
      <c r="D3" s="172" t="s">
        <v>48</v>
      </c>
      <c r="E3" s="172"/>
      <c r="F3" s="172"/>
      <c r="G3" s="19"/>
      <c r="I3" s="141"/>
      <c r="J3" s="141"/>
      <c r="K3" s="169"/>
    </row>
    <row r="4" spans="2:13" x14ac:dyDescent="0.25">
      <c r="B4" s="166" t="s">
        <v>49</v>
      </c>
      <c r="C4" s="167"/>
      <c r="D4" s="50">
        <v>14</v>
      </c>
      <c r="E4" s="21"/>
      <c r="F4" s="22"/>
      <c r="K4" s="23"/>
    </row>
    <row r="5" spans="2:13" x14ac:dyDescent="0.25">
      <c r="B5" s="166" t="s">
        <v>50</v>
      </c>
      <c r="C5" s="167"/>
      <c r="D5" s="168" t="s">
        <v>51</v>
      </c>
      <c r="E5" s="168"/>
      <c r="F5" s="168"/>
      <c r="G5" s="168"/>
      <c r="H5" s="168"/>
      <c r="K5" s="23"/>
    </row>
    <row r="6" spans="2:13" x14ac:dyDescent="0.25">
      <c r="B6" s="166"/>
      <c r="C6" s="167"/>
      <c r="D6" s="168"/>
      <c r="E6" s="168"/>
      <c r="F6" s="168"/>
      <c r="G6" s="168"/>
      <c r="H6" s="168"/>
      <c r="I6" s="141"/>
      <c r="J6" s="141"/>
      <c r="K6" s="23"/>
    </row>
    <row r="7" spans="2:13" x14ac:dyDescent="0.25">
      <c r="B7" s="166"/>
      <c r="C7" s="167"/>
      <c r="D7" s="168"/>
      <c r="E7" s="168"/>
      <c r="F7" s="168"/>
      <c r="G7" s="168"/>
      <c r="H7" s="168"/>
      <c r="I7" s="141"/>
      <c r="J7" s="141"/>
      <c r="K7" s="169"/>
    </row>
    <row r="8" spans="2:13" x14ac:dyDescent="0.25">
      <c r="B8" s="166"/>
      <c r="C8" s="167"/>
      <c r="D8" s="168"/>
      <c r="E8" s="168"/>
      <c r="F8" s="168"/>
      <c r="G8" s="168"/>
      <c r="H8" s="168"/>
      <c r="K8" s="23"/>
    </row>
    <row r="9" spans="2:13" x14ac:dyDescent="0.25">
      <c r="B9" s="158"/>
      <c r="C9" s="159"/>
      <c r="D9" s="24"/>
      <c r="E9" s="24"/>
      <c r="F9" s="24"/>
      <c r="G9" s="24"/>
      <c r="H9" s="24"/>
      <c r="I9" s="24"/>
      <c r="J9" s="24"/>
      <c r="K9" s="23"/>
    </row>
    <row r="10" spans="2:13" s="6" customFormat="1" x14ac:dyDescent="0.25">
      <c r="B10" s="55" t="s">
        <v>12</v>
      </c>
      <c r="C10" s="88" t="s">
        <v>52</v>
      </c>
      <c r="D10" s="25" t="s">
        <v>53</v>
      </c>
      <c r="E10" s="26" t="s">
        <v>16</v>
      </c>
      <c r="F10" s="87" t="s">
        <v>18</v>
      </c>
      <c r="G10" s="87" t="s">
        <v>20</v>
      </c>
      <c r="H10" s="26" t="s">
        <v>25</v>
      </c>
      <c r="I10" s="26" t="s">
        <v>27</v>
      </c>
      <c r="J10" s="26" t="s">
        <v>54</v>
      </c>
      <c r="K10" s="27" t="s">
        <v>55</v>
      </c>
      <c r="L10" s="6" t="s">
        <v>56</v>
      </c>
    </row>
    <row r="11" spans="2:13" x14ac:dyDescent="0.25">
      <c r="B11" s="52" t="s">
        <v>57</v>
      </c>
      <c r="C11" s="28" t="str">
        <f>IF(ISERROR(VLOOKUP(B11,Costs[],3,FALSE)),"",VLOOKUP(B11,Costs[],3,FALSE))</f>
        <v>Survey/Plan Production</v>
      </c>
      <c r="D11" s="29" t="s">
        <v>58</v>
      </c>
      <c r="E11" s="30">
        <v>1</v>
      </c>
      <c r="F11" s="31" t="s">
        <v>59</v>
      </c>
      <c r="G11" s="32" t="s">
        <v>60</v>
      </c>
      <c r="H11" s="64">
        <f>IF(ISNA(VLOOKUP(B11,Costs[],5,FALSE)),0,VLOOKUP(B11,Costs[],5,FALSE))</f>
        <v>530</v>
      </c>
      <c r="I11" s="33" t="str">
        <f>IF(ISNA(VLOOKUP(B11,Costs[],4,FALSE)),0,VLOOKUP(B11,Costs[],4,FALSE))</f>
        <v>Each</v>
      </c>
      <c r="J11" s="64">
        <f>IF(D11="Yes",(H11*E11)/6,"")</f>
        <v>88.333333333333329</v>
      </c>
      <c r="K11" s="65">
        <f>IF(D11="Yes",SUM(E11*H11)-(J11),SUM(E11*H11))</f>
        <v>441.66666666666669</v>
      </c>
      <c r="L11" s="58">
        <f>IFERROR((IF((VLOOKUP(B11,Costs[],2,FALSE))="WMG",K11*0.6,K11)),"")</f>
        <v>265</v>
      </c>
      <c r="M11" s="20" t="b">
        <f>K11=L11</f>
        <v>0</v>
      </c>
    </row>
    <row r="12" spans="2:13" x14ac:dyDescent="0.25">
      <c r="B12" s="52" t="s">
        <v>61</v>
      </c>
      <c r="C12" s="28" t="str">
        <f>IF(ISERROR(VLOOKUP(B12,Costs[],3,FALSE)),"",VLOOKUP(B12,Costs[],3,FALSE))</f>
        <v>Tree Guard Removal</v>
      </c>
      <c r="D12" s="29" t="s">
        <v>62</v>
      </c>
      <c r="E12" s="30">
        <v>5.7</v>
      </c>
      <c r="F12" s="31" t="s">
        <v>63</v>
      </c>
      <c r="G12" s="32">
        <v>3</v>
      </c>
      <c r="H12" s="64">
        <f>IF(ISNA(VLOOKUP(B12,Costs[],5,FALSE)),0,VLOOKUP(B12,Costs[],5,FALSE))</f>
        <v>335</v>
      </c>
      <c r="I12" s="33" t="str">
        <f>IF(ISNA(VLOOKUP(B12,Costs[],4,FALSE)),0,VLOOKUP(B12,Costs[],4,FALSE))</f>
        <v>Hectare</v>
      </c>
      <c r="J12" s="64" t="str">
        <f t="shared" ref="J12:J32" si="0">IF(D12="Yes",(H12*E12)/6,"")</f>
        <v/>
      </c>
      <c r="K12" s="65">
        <f t="shared" ref="K12:K32" si="1">IF(D12="Yes",SUM(E12*H12)-(J12),SUM(E12*H12))</f>
        <v>1909.5</v>
      </c>
      <c r="L12" s="58">
        <f>IFERROR((IF((VLOOKUP(B12,Costs[],2,FALSE))="WMG",K12*0.6,K12)),"")</f>
        <v>1909.5</v>
      </c>
      <c r="M12" s="20" t="b">
        <f t="shared" ref="M12:M32" si="2">K12=L12</f>
        <v>1</v>
      </c>
    </row>
    <row r="13" spans="2:13" x14ac:dyDescent="0.25">
      <c r="B13" s="52" t="s">
        <v>64</v>
      </c>
      <c r="C13" s="28" t="str">
        <f>IF(ISERROR(VLOOKUP(B13,Costs[],3,FALSE)),"",VLOOKUP(B13,Costs[],3,FALSE))</f>
        <v>Tree Guard Recycling</v>
      </c>
      <c r="D13" s="29" t="s">
        <v>58</v>
      </c>
      <c r="E13" s="30">
        <v>5.7</v>
      </c>
      <c r="F13" s="31" t="s">
        <v>65</v>
      </c>
      <c r="G13" s="32">
        <v>3</v>
      </c>
      <c r="H13" s="64">
        <f>IF(ISNA(VLOOKUP(B13,Costs[],5,FALSE)),0,VLOOKUP(B13,Costs[],5,FALSE))</f>
        <v>310</v>
      </c>
      <c r="I13" s="33" t="str">
        <f>IF(ISNA(VLOOKUP(B13,Costs[],4,FALSE)),0,VLOOKUP(B13,Costs[],4,FALSE))</f>
        <v>Hectare</v>
      </c>
      <c r="J13" s="64">
        <f t="shared" si="0"/>
        <v>294.5</v>
      </c>
      <c r="K13" s="65">
        <f t="shared" si="1"/>
        <v>1472.5</v>
      </c>
      <c r="L13" s="58">
        <f>IFERROR((IF((VLOOKUP(B13,Costs[],2,FALSE))="WMG",K13*0.6,K13)),"")</f>
        <v>1472.5</v>
      </c>
      <c r="M13" s="20" t="b">
        <f t="shared" si="2"/>
        <v>1</v>
      </c>
    </row>
    <row r="14" spans="2:13" ht="30" x14ac:dyDescent="0.25">
      <c r="B14" s="52" t="s">
        <v>66</v>
      </c>
      <c r="C14" s="28" t="str">
        <f>IF(ISERROR(VLOOKUP(B14,Costs[],3,FALSE)),"",VLOOKUP(B14,Costs[],3,FALSE))</f>
        <v>Squirrel Bait Stations</v>
      </c>
      <c r="D14" s="29" t="s">
        <v>62</v>
      </c>
      <c r="E14" s="30">
        <v>4</v>
      </c>
      <c r="F14" s="31" t="s">
        <v>67</v>
      </c>
      <c r="G14" s="32" t="s">
        <v>68</v>
      </c>
      <c r="H14" s="64">
        <f>IF(ISNA(VLOOKUP(B14,Costs[],5,FALSE)),0,VLOOKUP(B14,Costs[],5,FALSE))</f>
        <v>35</v>
      </c>
      <c r="I14" s="33" t="str">
        <f>IF(ISNA(VLOOKUP(B14,Costs[],4,FALSE)),0,VLOOKUP(B14,Costs[],4,FALSE))</f>
        <v>Each</v>
      </c>
      <c r="J14" s="64" t="str">
        <f t="shared" si="0"/>
        <v/>
      </c>
      <c r="K14" s="65">
        <f t="shared" si="1"/>
        <v>140</v>
      </c>
      <c r="L14" s="58">
        <f>IFERROR((IF((VLOOKUP(B14,Costs[],2,FALSE))="WMG",K14*0.6,K14)),"")</f>
        <v>84</v>
      </c>
      <c r="M14" s="20" t="b">
        <f t="shared" si="2"/>
        <v>0</v>
      </c>
    </row>
    <row r="15" spans="2:13" x14ac:dyDescent="0.25">
      <c r="B15" s="52" t="s">
        <v>69</v>
      </c>
      <c r="C15" s="28" t="str">
        <f>IF(ISERROR(VLOOKUP(B15,Costs[],3,FALSE)),"",VLOOKUP(B15,Costs[],3,FALSE))</f>
        <v xml:space="preserve">Squirrel Control </v>
      </c>
      <c r="D15" s="29" t="s">
        <v>62</v>
      </c>
      <c r="E15" s="30">
        <v>4</v>
      </c>
      <c r="F15" s="31" t="s">
        <v>70</v>
      </c>
      <c r="G15" s="32" t="s">
        <v>68</v>
      </c>
      <c r="H15" s="64">
        <f>IF(ISNA(VLOOKUP(B15,Costs[],5,FALSE)),0,VLOOKUP(B15,Costs[],5,FALSE))</f>
        <v>145</v>
      </c>
      <c r="I15" s="33" t="str">
        <f>IF(ISNA(VLOOKUP(B15,Costs[],4,FALSE)),0,VLOOKUP(B15,Costs[],4,FALSE))</f>
        <v>Trap per Season</v>
      </c>
      <c r="J15" s="64" t="str">
        <f t="shared" si="0"/>
        <v/>
      </c>
      <c r="K15" s="65">
        <f t="shared" si="1"/>
        <v>580</v>
      </c>
      <c r="L15" s="58">
        <f>IFERROR((IF((VLOOKUP(B15,Costs[],2,FALSE))="WMG",K15*0.6,K15)),"")</f>
        <v>348</v>
      </c>
      <c r="M15" s="20" t="b">
        <f t="shared" si="2"/>
        <v>0</v>
      </c>
    </row>
    <row r="16" spans="2:13" ht="30" x14ac:dyDescent="0.25">
      <c r="B16" s="52" t="s">
        <v>71</v>
      </c>
      <c r="C16" s="28" t="str">
        <f>IF(ISERROR(VLOOKUP(B16,Costs[],3,FALSE)),"",VLOOKUP(B16,Costs[],3,FALSE))</f>
        <v xml:space="preserve">Notice Board </v>
      </c>
      <c r="D16" s="29" t="s">
        <v>58</v>
      </c>
      <c r="E16" s="30">
        <v>1</v>
      </c>
      <c r="F16" s="31" t="s">
        <v>72</v>
      </c>
      <c r="G16" s="32">
        <v>4</v>
      </c>
      <c r="H16" s="64">
        <f>IF(ISNA(VLOOKUP(B16,Costs[],5,FALSE)),0,VLOOKUP(B16,Costs[],5,FALSE))</f>
        <v>400</v>
      </c>
      <c r="I16" s="33" t="str">
        <f>IF(ISNA(VLOOKUP(B16,Costs[],4,FALSE)),0,VLOOKUP(B16,Costs[],4,FALSE))</f>
        <v>Each</v>
      </c>
      <c r="J16" s="64">
        <f t="shared" si="0"/>
        <v>66.666666666666671</v>
      </c>
      <c r="K16" s="65">
        <f t="shared" si="1"/>
        <v>333.33333333333331</v>
      </c>
      <c r="L16" s="58">
        <f>IFERROR((IF((VLOOKUP(B16,Costs[],2,FALSE))="WMG",K16*0.6,K16)),"")</f>
        <v>199.99999999999997</v>
      </c>
      <c r="M16" s="20" t="b">
        <f t="shared" si="2"/>
        <v>0</v>
      </c>
    </row>
    <row r="17" spans="2:13" x14ac:dyDescent="0.25">
      <c r="B17" s="52" t="s">
        <v>73</v>
      </c>
      <c r="C17" s="28" t="str">
        <f>IF(ISERROR(VLOOKUP(B17,Costs[],3,FALSE)),"",VLOOKUP(B17,Costs[],3,FALSE))</f>
        <v xml:space="preserve">Hedgerow Tree Surgery - Less than 20cm limb diameter </v>
      </c>
      <c r="D17" s="29" t="s">
        <v>58</v>
      </c>
      <c r="E17" s="30">
        <v>5</v>
      </c>
      <c r="F17" s="31" t="s">
        <v>74</v>
      </c>
      <c r="G17" s="32">
        <v>7</v>
      </c>
      <c r="H17" s="64">
        <f>IF(ISNA(VLOOKUP(B17,Costs[],5,FALSE)),0,VLOOKUP(B17,Costs[],5,FALSE))</f>
        <v>115.8</v>
      </c>
      <c r="I17" s="33" t="str">
        <f>IF(ISNA(VLOOKUP(B17,Costs[],4,FALSE)),0,VLOOKUP(B17,Costs[],4,FALSE))</f>
        <v>Tree</v>
      </c>
      <c r="J17" s="64">
        <f t="shared" si="0"/>
        <v>96.5</v>
      </c>
      <c r="K17" s="65">
        <f t="shared" si="1"/>
        <v>482.5</v>
      </c>
      <c r="L17" s="58">
        <f>IFERROR((IF((VLOOKUP(B17,Costs[],2,FALSE))="WMG",K17*0.6,K17)),"")</f>
        <v>289.5</v>
      </c>
      <c r="M17" s="20" t="b">
        <f t="shared" si="2"/>
        <v>0</v>
      </c>
    </row>
    <row r="18" spans="2:13" x14ac:dyDescent="0.25">
      <c r="B18" s="52" t="s">
        <v>75</v>
      </c>
      <c r="C18" s="28" t="str">
        <f>IF(ISERROR(VLOOKUP(B18,Costs[],3,FALSE)),"",VLOOKUP(B18,Costs[],3,FALSE))</f>
        <v>Coppicing</v>
      </c>
      <c r="D18" s="29" t="s">
        <v>58</v>
      </c>
      <c r="E18" s="30">
        <v>0.5</v>
      </c>
      <c r="F18" s="31" t="s">
        <v>76</v>
      </c>
      <c r="G18" s="32">
        <v>2</v>
      </c>
      <c r="H18" s="64">
        <f>IF(ISNA(VLOOKUP(B18,Costs[],5,FALSE)),0,VLOOKUP(B18,Costs[],5,FALSE))</f>
        <v>1385</v>
      </c>
      <c r="I18" s="33" t="str">
        <f>IF(ISNA(VLOOKUP(B18,Costs[],4,FALSE)),0,VLOOKUP(B18,Costs[],4,FALSE))</f>
        <v>Hectare</v>
      </c>
      <c r="J18" s="64">
        <f t="shared" si="0"/>
        <v>115.41666666666667</v>
      </c>
      <c r="K18" s="65">
        <f t="shared" si="1"/>
        <v>577.08333333333337</v>
      </c>
      <c r="L18" s="58">
        <f>IFERROR((IF((VLOOKUP(B18,Costs[],2,FALSE))="WMG",K18*0.6,K18)),"")</f>
        <v>577.08333333333337</v>
      </c>
      <c r="M18" s="20" t="b">
        <f t="shared" si="2"/>
        <v>1</v>
      </c>
    </row>
    <row r="19" spans="2:13" x14ac:dyDescent="0.25">
      <c r="B19" s="52" t="s">
        <v>77</v>
      </c>
      <c r="C19" s="28" t="str">
        <f>IF(ISERROR(VLOOKUP(B19,Costs[],3,FALSE)),"",VLOOKUP(B19,Costs[],3,FALSE))</f>
        <v xml:space="preserve">Hedge Laying </v>
      </c>
      <c r="D19" s="29" t="s">
        <v>58</v>
      </c>
      <c r="E19" s="30">
        <v>250</v>
      </c>
      <c r="F19" s="31" t="s">
        <v>78</v>
      </c>
      <c r="G19" s="32">
        <v>4</v>
      </c>
      <c r="H19" s="64">
        <f>IF(ISNA(VLOOKUP(B19,Costs[],5,FALSE)),0,VLOOKUP(B19,Costs[],5,FALSE))</f>
        <v>15</v>
      </c>
      <c r="I19" s="33" t="str">
        <f>IF(ISNA(VLOOKUP(B19,Costs[],4,FALSE)),0,VLOOKUP(B19,Costs[],4,FALSE))</f>
        <v>Metre</v>
      </c>
      <c r="J19" s="64">
        <f t="shared" si="0"/>
        <v>625</v>
      </c>
      <c r="K19" s="65">
        <f t="shared" si="1"/>
        <v>3125</v>
      </c>
      <c r="L19" s="58">
        <f>IFERROR((IF((VLOOKUP(B19,Costs[],2,FALSE))="WMG",K19*0.6,K19)),"")</f>
        <v>3125</v>
      </c>
      <c r="M19" s="20" t="b">
        <f t="shared" si="2"/>
        <v>1</v>
      </c>
    </row>
    <row r="20" spans="2:13" x14ac:dyDescent="0.25">
      <c r="B20" s="52" t="s">
        <v>79</v>
      </c>
      <c r="C20" s="28" t="str">
        <f>IF(ISERROR(VLOOKUP(B20,Costs[],3,FALSE)),"",VLOOKUP(B20,Costs[],3,FALSE))</f>
        <v xml:space="preserve">Fencing - Sheep Netting </v>
      </c>
      <c r="D20" s="29" t="s">
        <v>58</v>
      </c>
      <c r="E20" s="30">
        <v>140</v>
      </c>
      <c r="F20" s="31" t="s">
        <v>80</v>
      </c>
      <c r="G20" s="32">
        <v>1</v>
      </c>
      <c r="H20" s="64">
        <f>IF(ISNA(VLOOKUP(B20,Costs[],5,FALSE)),0,VLOOKUP(B20,Costs[],5,FALSE))</f>
        <v>7.5</v>
      </c>
      <c r="I20" s="33" t="str">
        <f>IF(ISNA(VLOOKUP(B20,Costs[],4,FALSE)),0,VLOOKUP(B20,Costs[],4,FALSE))</f>
        <v>Metre</v>
      </c>
      <c r="J20" s="64">
        <f t="shared" si="0"/>
        <v>175</v>
      </c>
      <c r="K20" s="65">
        <f t="shared" si="1"/>
        <v>875</v>
      </c>
      <c r="L20" s="58">
        <f>IFERROR((IF((VLOOKUP(B20,Costs[],2,FALSE))="WMG",K20*0.6,K20)),"")</f>
        <v>875</v>
      </c>
      <c r="M20" s="20" t="b">
        <f t="shared" si="2"/>
        <v>1</v>
      </c>
    </row>
    <row r="21" spans="2:13" ht="30" x14ac:dyDescent="0.25">
      <c r="B21" s="52" t="s">
        <v>81</v>
      </c>
      <c r="C21" s="28" t="str">
        <f>IF(ISERROR(VLOOKUP(B21,Costs[],3,FALSE)),"",VLOOKUP(B21,Costs[],3,FALSE))</f>
        <v>Riverside Grass Margins in Grass Fields - 30m (5 year total)</v>
      </c>
      <c r="D21" s="29" t="s">
        <v>62</v>
      </c>
      <c r="E21" s="30">
        <v>0.42</v>
      </c>
      <c r="F21" s="31" t="s">
        <v>82</v>
      </c>
      <c r="G21" s="32">
        <v>1</v>
      </c>
      <c r="H21" s="64">
        <f>IF(ISNA(VLOOKUP(B21,Costs[],5,FALSE)),0,VLOOKUP(B21,Costs[],5,FALSE))</f>
        <v>1000</v>
      </c>
      <c r="I21" s="33" t="str">
        <f>IF(ISNA(VLOOKUP(B21,Costs[],4,FALSE)),0,VLOOKUP(B21,Costs[],4,FALSE))</f>
        <v>Ha</v>
      </c>
      <c r="J21" s="64" t="str">
        <f t="shared" si="0"/>
        <v/>
      </c>
      <c r="K21" s="65">
        <f t="shared" si="1"/>
        <v>420</v>
      </c>
      <c r="L21" s="58">
        <f>IFERROR((IF((VLOOKUP(B21,Costs[],2,FALSE))="WMG",K21*0.6,K21)),"")</f>
        <v>420</v>
      </c>
      <c r="M21" s="20" t="b">
        <f t="shared" si="2"/>
        <v>1</v>
      </c>
    </row>
    <row r="22" spans="2:13" x14ac:dyDescent="0.25">
      <c r="B22" s="52" t="s">
        <v>83</v>
      </c>
      <c r="C22" s="28" t="str">
        <f>IF(ISERROR(VLOOKUP(B22,Costs[],3,FALSE)),"",VLOOKUP(B22,Costs[],3,FALSE))</f>
        <v>Fencing - Wooden Gate</v>
      </c>
      <c r="D22" s="29" t="s">
        <v>62</v>
      </c>
      <c r="E22" s="30">
        <v>3</v>
      </c>
      <c r="F22" s="31" t="s">
        <v>84</v>
      </c>
      <c r="G22" s="32">
        <v>1</v>
      </c>
      <c r="H22" s="64">
        <f>IF(ISNA(VLOOKUP(B22,Costs[],5,FALSE)),0,VLOOKUP(B22,Costs[],5,FALSE))</f>
        <v>195</v>
      </c>
      <c r="I22" s="33" t="str">
        <f>IF(ISNA(VLOOKUP(B22,Costs[],4,FALSE)),0,VLOOKUP(B22,Costs[],4,FALSE))</f>
        <v>Gate</v>
      </c>
      <c r="J22" s="64" t="str">
        <f t="shared" si="0"/>
        <v/>
      </c>
      <c r="K22" s="65">
        <f t="shared" si="1"/>
        <v>585</v>
      </c>
      <c r="L22" s="58">
        <f>IFERROR((IF((VLOOKUP(B22,Costs[],2,FALSE))="WMG",K22*0.6,K22)),"")</f>
        <v>585</v>
      </c>
      <c r="M22" s="20" t="b">
        <f t="shared" si="2"/>
        <v>1</v>
      </c>
    </row>
    <row r="23" spans="2:13" ht="30" x14ac:dyDescent="0.25">
      <c r="B23" s="52" t="s">
        <v>85</v>
      </c>
      <c r="C23" s="28" t="str">
        <f>IF(ISERROR(VLOOKUP(B23,Costs[],3,FALSE)),"",VLOOKUP(B23,Costs[],3,FALSE))</f>
        <v>Restoration Towards Species Rich Grassland</v>
      </c>
      <c r="D23" s="29" t="s">
        <v>62</v>
      </c>
      <c r="E23" s="30">
        <v>3</v>
      </c>
      <c r="F23" s="31" t="s">
        <v>86</v>
      </c>
      <c r="G23" s="32">
        <v>1</v>
      </c>
      <c r="H23" s="64">
        <f>IF(ISNA(VLOOKUP(B23,Costs[],5,FALSE)),0,VLOOKUP(B23,Costs[],5,FALSE))</f>
        <v>145</v>
      </c>
      <c r="I23" s="33" t="str">
        <f>IF(ISNA(VLOOKUP(B23,Costs[],4,FALSE)),0,VLOOKUP(B23,Costs[],4,FALSE))</f>
        <v>Ha</v>
      </c>
      <c r="J23" s="64" t="str">
        <f t="shared" si="0"/>
        <v/>
      </c>
      <c r="K23" s="65">
        <f>IF(D23="Yes",SUM(E23*H23)-(J23),SUM(E23*H23))</f>
        <v>435</v>
      </c>
      <c r="L23" s="58">
        <f>IFERROR((IF((VLOOKUP(B23,Costs[],2,FALSE))="WMG",K23*0.6,K23)),"")</f>
        <v>435</v>
      </c>
      <c r="M23" s="20" t="b">
        <f t="shared" si="2"/>
        <v>1</v>
      </c>
    </row>
    <row r="24" spans="2:13" x14ac:dyDescent="0.25">
      <c r="B24" s="52"/>
      <c r="C24" s="28" t="str">
        <f>IF(ISERROR(VLOOKUP(B24,Costs[],3,FALSE)),"",VLOOKUP(B24,Costs[],3,FALSE))</f>
        <v/>
      </c>
      <c r="D24" s="29"/>
      <c r="E24" s="30"/>
      <c r="F24" s="31"/>
      <c r="G24" s="32"/>
      <c r="H24" s="64">
        <f>IF(ISNA(VLOOKUP(B24,Costs[],5,FALSE)),0,VLOOKUP(B24,Costs[],5,FALSE))</f>
        <v>0</v>
      </c>
      <c r="I24" s="33">
        <f>IF(ISNA(VLOOKUP(B24,Costs[],4,FALSE)),0,VLOOKUP(B24,Costs[],4,FALSE))</f>
        <v>0</v>
      </c>
      <c r="J24" s="64" t="str">
        <f t="shared" si="0"/>
        <v/>
      </c>
      <c r="K24" s="65">
        <f t="shared" si="1"/>
        <v>0</v>
      </c>
      <c r="L24" s="58" t="str">
        <f>IFERROR((IF((VLOOKUP(B24,Costs[],2,FALSE))="WMG",K24*0.6,K24)),"")</f>
        <v/>
      </c>
      <c r="M24" s="20" t="b">
        <f t="shared" si="2"/>
        <v>0</v>
      </c>
    </row>
    <row r="25" spans="2:13" x14ac:dyDescent="0.25">
      <c r="B25" s="52"/>
      <c r="C25" s="28" t="str">
        <f>IF(ISERROR(VLOOKUP(B25,Costs[],3,FALSE)),"",VLOOKUP(B25,Costs[],3,FALSE))</f>
        <v/>
      </c>
      <c r="D25" s="29"/>
      <c r="E25" s="30"/>
      <c r="F25" s="31"/>
      <c r="G25" s="32"/>
      <c r="H25" s="64">
        <f>IF(ISNA(VLOOKUP(B25,Costs[],5,FALSE)),0,VLOOKUP(B25,Costs[],5,FALSE))</f>
        <v>0</v>
      </c>
      <c r="I25" s="33">
        <f>IF(ISNA(VLOOKUP(B25,Costs[],4,FALSE)),0,VLOOKUP(B25,Costs[],4,FALSE))</f>
        <v>0</v>
      </c>
      <c r="J25" s="64" t="str">
        <f t="shared" si="0"/>
        <v/>
      </c>
      <c r="K25" s="65">
        <f t="shared" si="1"/>
        <v>0</v>
      </c>
      <c r="L25" s="58" t="str">
        <f>IFERROR((IF((VLOOKUP(B25,Costs[],2,FALSE))="WMG",K25*0.6,K25)),"")</f>
        <v/>
      </c>
      <c r="M25" s="20" t="b">
        <f t="shared" si="2"/>
        <v>0</v>
      </c>
    </row>
    <row r="26" spans="2:13" x14ac:dyDescent="0.25">
      <c r="B26" s="52"/>
      <c r="C26" s="28" t="str">
        <f>IF(ISERROR(VLOOKUP(B26,Costs[],3,FALSE)),"",VLOOKUP(B26,Costs[],3,FALSE))</f>
        <v/>
      </c>
      <c r="D26" s="29"/>
      <c r="E26" s="30"/>
      <c r="F26" s="31"/>
      <c r="G26" s="32"/>
      <c r="H26" s="64">
        <f>IF(ISNA(VLOOKUP(B26,Costs[],5,FALSE)),0,VLOOKUP(B26,Costs[],5,FALSE))</f>
        <v>0</v>
      </c>
      <c r="I26" s="33">
        <f>IF(ISNA(VLOOKUP(B26,Costs[],4,FALSE)),0,VLOOKUP(B26,Costs[],4,FALSE))</f>
        <v>0</v>
      </c>
      <c r="J26" s="64" t="str">
        <f t="shared" si="0"/>
        <v/>
      </c>
      <c r="K26" s="65">
        <f t="shared" si="1"/>
        <v>0</v>
      </c>
      <c r="L26" s="58" t="str">
        <f>IFERROR((IF((VLOOKUP(B26,Costs[],2,FALSE))="WMG",K26*0.6,K26)),"")</f>
        <v/>
      </c>
      <c r="M26" s="20" t="b">
        <f t="shared" si="2"/>
        <v>0</v>
      </c>
    </row>
    <row r="27" spans="2:13" x14ac:dyDescent="0.25">
      <c r="B27" s="52"/>
      <c r="C27" s="28" t="str">
        <f>IF(ISERROR(VLOOKUP(B27,Costs[],3,FALSE)),"",VLOOKUP(B27,Costs[],3,FALSE))</f>
        <v/>
      </c>
      <c r="D27" s="29"/>
      <c r="E27" s="30"/>
      <c r="F27" s="31"/>
      <c r="G27" s="32"/>
      <c r="H27" s="64">
        <f>IF(ISNA(VLOOKUP(B27,Costs[],5,FALSE)),0,VLOOKUP(B27,Costs[],5,FALSE))</f>
        <v>0</v>
      </c>
      <c r="I27" s="33">
        <f>IF(ISNA(VLOOKUP(B27,Costs[],4,FALSE)),0,VLOOKUP(B27,Costs[],4,FALSE))</f>
        <v>0</v>
      </c>
      <c r="J27" s="64" t="str">
        <f t="shared" si="0"/>
        <v/>
      </c>
      <c r="K27" s="65">
        <f t="shared" si="1"/>
        <v>0</v>
      </c>
      <c r="L27" s="58" t="str">
        <f>IFERROR((IF((VLOOKUP(B27,Costs[],2,FALSE))="WMG",K27*0.6,K27)),"")</f>
        <v/>
      </c>
      <c r="M27" s="20" t="b">
        <f t="shared" si="2"/>
        <v>0</v>
      </c>
    </row>
    <row r="28" spans="2:13" x14ac:dyDescent="0.25">
      <c r="B28" s="52"/>
      <c r="C28" s="28" t="str">
        <f>IF(ISERROR(VLOOKUP(B28,Costs[],3,FALSE)),"",VLOOKUP(B28,Costs[],3,FALSE))</f>
        <v/>
      </c>
      <c r="D28" s="29"/>
      <c r="E28" s="30"/>
      <c r="F28" s="31"/>
      <c r="G28" s="32"/>
      <c r="H28" s="64">
        <f>IF(ISNA(VLOOKUP(B28,Costs[],5,FALSE)),0,VLOOKUP(B28,Costs[],5,FALSE))</f>
        <v>0</v>
      </c>
      <c r="I28" s="33">
        <f>IF(ISNA(VLOOKUP(B28,Costs[],4,FALSE)),0,VLOOKUP(B28,Costs[],4,FALSE))</f>
        <v>0</v>
      </c>
      <c r="J28" s="64" t="str">
        <f t="shared" si="0"/>
        <v/>
      </c>
      <c r="K28" s="65">
        <f t="shared" si="1"/>
        <v>0</v>
      </c>
      <c r="L28" s="58" t="str">
        <f>IFERROR((IF((VLOOKUP(B28,Costs[],2,FALSE))="WMG",K28*0.6,K28)),"")</f>
        <v/>
      </c>
      <c r="M28" s="20" t="b">
        <f t="shared" si="2"/>
        <v>0</v>
      </c>
    </row>
    <row r="29" spans="2:13" x14ac:dyDescent="0.25">
      <c r="B29" s="52"/>
      <c r="C29" s="28" t="str">
        <f>IF(ISERROR(VLOOKUP(B29,Costs[],3,FALSE)),"",VLOOKUP(B29,Costs[],3,FALSE))</f>
        <v/>
      </c>
      <c r="D29" s="29"/>
      <c r="E29" s="30"/>
      <c r="F29" s="31"/>
      <c r="G29" s="32"/>
      <c r="H29" s="64">
        <f>IF(ISNA(VLOOKUP(B29,Costs[],5,FALSE)),0,VLOOKUP(B29,Costs[],5,FALSE))</f>
        <v>0</v>
      </c>
      <c r="I29" s="33">
        <f>IF(ISNA(VLOOKUP(B29,Costs[],4,FALSE)),0,VLOOKUP(B29,Costs[],4,FALSE))</f>
        <v>0</v>
      </c>
      <c r="J29" s="64" t="str">
        <f t="shared" si="0"/>
        <v/>
      </c>
      <c r="K29" s="65">
        <f t="shared" si="1"/>
        <v>0</v>
      </c>
      <c r="L29" s="58" t="str">
        <f>IFERROR((IF((VLOOKUP(B29,Costs[],2,FALSE))="WMG",K29*0.6,K29)),"")</f>
        <v/>
      </c>
      <c r="M29" s="20" t="b">
        <f t="shared" si="2"/>
        <v>0</v>
      </c>
    </row>
    <row r="30" spans="2:13" x14ac:dyDescent="0.25">
      <c r="B30" s="52"/>
      <c r="C30" s="28" t="str">
        <f>IF(ISERROR(VLOOKUP(B30,Costs[],3,FALSE)),"",VLOOKUP(B30,Costs[],3,FALSE))</f>
        <v/>
      </c>
      <c r="D30" s="29"/>
      <c r="E30" s="30"/>
      <c r="F30" s="31"/>
      <c r="G30" s="35"/>
      <c r="H30" s="64">
        <f>IF(ISNA(VLOOKUP(B30,Costs[],5,FALSE)),0,VLOOKUP(B30,Costs[],5,FALSE))</f>
        <v>0</v>
      </c>
      <c r="I30" s="33">
        <f>IF(ISNA(VLOOKUP(B30,Costs[],4,FALSE)),0,VLOOKUP(B30,Costs[],4,FALSE))</f>
        <v>0</v>
      </c>
      <c r="J30" s="64" t="str">
        <f t="shared" si="0"/>
        <v/>
      </c>
      <c r="K30" s="65">
        <f t="shared" si="1"/>
        <v>0</v>
      </c>
      <c r="L30" s="58" t="str">
        <f>IFERROR((IF((VLOOKUP(B30,Costs[],2,FALSE))="WMG",K30*0.6,K30)),"")</f>
        <v/>
      </c>
      <c r="M30" s="20" t="b">
        <f t="shared" si="2"/>
        <v>0</v>
      </c>
    </row>
    <row r="31" spans="2:13" x14ac:dyDescent="0.25">
      <c r="B31" s="52"/>
      <c r="C31" s="28" t="str">
        <f>IF(ISERROR(VLOOKUP(B31,Costs[],3,FALSE)),"",VLOOKUP(B31,Costs[],3,FALSE))</f>
        <v/>
      </c>
      <c r="D31" s="29"/>
      <c r="E31" s="30"/>
      <c r="F31" s="31"/>
      <c r="G31" s="35"/>
      <c r="H31" s="64">
        <f>IF(ISNA(VLOOKUP(B31,Costs[],5,FALSE)),0,VLOOKUP(B31,Costs[],5,FALSE))</f>
        <v>0</v>
      </c>
      <c r="I31" s="33">
        <f>IF(ISNA(VLOOKUP(B31,Costs[],4,FALSE)),0,VLOOKUP(B31,Costs[],4,FALSE))</f>
        <v>0</v>
      </c>
      <c r="J31" s="64" t="str">
        <f t="shared" si="0"/>
        <v/>
      </c>
      <c r="K31" s="65">
        <f t="shared" si="1"/>
        <v>0</v>
      </c>
      <c r="L31" s="58" t="str">
        <f>IFERROR((IF((VLOOKUP(B31,Costs[],2,FALSE))="WMG",K31*0.6,K31)),"")</f>
        <v/>
      </c>
      <c r="M31" s="20" t="b">
        <f t="shared" si="2"/>
        <v>0</v>
      </c>
    </row>
    <row r="32" spans="2:13" x14ac:dyDescent="0.25">
      <c r="B32" s="52"/>
      <c r="C32" s="28" t="str">
        <f>IF(ISERROR(VLOOKUP(B32,Costs[],3,FALSE)),"",VLOOKUP(B32,Costs[],3,FALSE))</f>
        <v/>
      </c>
      <c r="D32" s="29"/>
      <c r="E32" s="30"/>
      <c r="F32" s="31"/>
      <c r="G32" s="35"/>
      <c r="H32" s="64">
        <f>IF(ISNA(VLOOKUP(B32,Costs[],5,FALSE)),0,VLOOKUP(B32,Costs[],5,FALSE))</f>
        <v>0</v>
      </c>
      <c r="I32" s="33">
        <f>IF(ISNA(VLOOKUP(B32,Costs[],4,FALSE)),0,VLOOKUP(B32,Costs[],4,FALSE))</f>
        <v>0</v>
      </c>
      <c r="J32" s="64" t="str">
        <f t="shared" si="0"/>
        <v/>
      </c>
      <c r="K32" s="65">
        <f t="shared" si="1"/>
        <v>0</v>
      </c>
      <c r="L32" s="58" t="str">
        <f>IFERROR((IF((VLOOKUP(B32,Costs[],2,FALSE))="WMG",K32*0.6,K32)),"")</f>
        <v/>
      </c>
      <c r="M32" s="20" t="b">
        <f t="shared" si="2"/>
        <v>0</v>
      </c>
    </row>
    <row r="33" spans="2:13" x14ac:dyDescent="0.25">
      <c r="B33" s="57"/>
      <c r="H33" s="142" t="s">
        <v>87</v>
      </c>
      <c r="I33" s="142"/>
      <c r="J33" s="68">
        <f>SUM(J11:J32)</f>
        <v>1461.4166666666665</v>
      </c>
      <c r="K33" s="69">
        <f>SUM(K11:K32)</f>
        <v>11376.583333333332</v>
      </c>
      <c r="L33" s="63"/>
    </row>
    <row r="34" spans="2:13" x14ac:dyDescent="0.25">
      <c r="B34" s="57"/>
      <c r="H34" s="160" t="s">
        <v>88</v>
      </c>
      <c r="I34" s="161"/>
      <c r="J34" s="68"/>
      <c r="K34" s="69">
        <f>SUM(L11:L32)</f>
        <v>10585.583333333332</v>
      </c>
      <c r="L34" s="63"/>
    </row>
    <row r="35" spans="2:13" x14ac:dyDescent="0.25">
      <c r="B35" s="57"/>
      <c r="H35" s="36"/>
      <c r="I35" s="37"/>
      <c r="J35" s="58"/>
      <c r="K35" s="38"/>
    </row>
    <row r="36" spans="2:13" s="6" customFormat="1" x14ac:dyDescent="0.25">
      <c r="B36" s="162" t="s">
        <v>22</v>
      </c>
      <c r="C36" s="163"/>
      <c r="D36" s="157"/>
      <c r="E36" s="26" t="s">
        <v>16</v>
      </c>
      <c r="F36" s="156" t="s">
        <v>18</v>
      </c>
      <c r="G36" s="157"/>
      <c r="H36" s="39" t="s">
        <v>89</v>
      </c>
      <c r="I36" s="164" t="s">
        <v>27</v>
      </c>
      <c r="J36" s="165"/>
      <c r="K36" s="27" t="s">
        <v>90</v>
      </c>
    </row>
    <row r="37" spans="2:13" x14ac:dyDescent="0.25">
      <c r="B37" s="151" t="s">
        <v>91</v>
      </c>
      <c r="C37" s="152"/>
      <c r="D37" s="153"/>
      <c r="E37" s="30">
        <v>15</v>
      </c>
      <c r="F37" s="149" t="s">
        <v>92</v>
      </c>
      <c r="G37" s="150"/>
      <c r="H37" s="40">
        <v>50</v>
      </c>
      <c r="I37" s="149" t="s">
        <v>93</v>
      </c>
      <c r="J37" s="150"/>
      <c r="K37" s="41">
        <f>SUM(E37*H37)</f>
        <v>750</v>
      </c>
    </row>
    <row r="38" spans="2:13" x14ac:dyDescent="0.25">
      <c r="B38" s="57"/>
      <c r="F38" s="37"/>
      <c r="G38" s="37"/>
      <c r="H38" s="19"/>
      <c r="I38" s="19"/>
      <c r="J38" s="70" t="s">
        <v>87</v>
      </c>
      <c r="K38" s="69">
        <f>K37</f>
        <v>750</v>
      </c>
    </row>
    <row r="39" spans="2:13" x14ac:dyDescent="0.25">
      <c r="B39" s="57"/>
      <c r="F39" s="37"/>
      <c r="G39" s="37"/>
      <c r="H39" s="6"/>
      <c r="I39" s="6"/>
      <c r="J39" s="19"/>
      <c r="K39" s="71"/>
    </row>
    <row r="40" spans="2:13" x14ac:dyDescent="0.25">
      <c r="B40" s="154" t="s">
        <v>94</v>
      </c>
      <c r="C40" s="155"/>
      <c r="D40" s="42" t="s">
        <v>53</v>
      </c>
      <c r="E40" s="26" t="s">
        <v>16</v>
      </c>
      <c r="F40" s="156" t="s">
        <v>18</v>
      </c>
      <c r="G40" s="157"/>
      <c r="H40" s="39" t="s">
        <v>25</v>
      </c>
      <c r="I40" s="39" t="s">
        <v>27</v>
      </c>
      <c r="J40" s="26" t="s">
        <v>54</v>
      </c>
      <c r="K40" s="27" t="s">
        <v>55</v>
      </c>
    </row>
    <row r="41" spans="2:13" x14ac:dyDescent="0.25">
      <c r="B41" s="51" t="s">
        <v>95</v>
      </c>
      <c r="C41" s="66" t="s">
        <v>96</v>
      </c>
      <c r="D41" s="43" t="s">
        <v>58</v>
      </c>
      <c r="E41" s="30">
        <v>1</v>
      </c>
      <c r="F41" s="149" t="s">
        <v>97</v>
      </c>
      <c r="G41" s="150"/>
      <c r="H41" s="40">
        <v>504</v>
      </c>
      <c r="I41" s="44" t="s">
        <v>98</v>
      </c>
      <c r="J41" s="56">
        <f>IF(D41="Yes",(H41*E41)/6,"")</f>
        <v>84</v>
      </c>
      <c r="K41" s="34">
        <f>IF(D41="Yes",SUM(E41*H41)-(J41),SUM(E41*H41))</f>
        <v>420</v>
      </c>
      <c r="L41" s="58">
        <f>IF(ISBLANK(B41),"",(IFERROR((IF(B41="WMG",K41*0.6,K41)),"")))</f>
        <v>252</v>
      </c>
      <c r="M41" s="20" t="b">
        <f t="shared" ref="M41:M44" si="3">K41=L41</f>
        <v>0</v>
      </c>
    </row>
    <row r="42" spans="2:13" x14ac:dyDescent="0.25">
      <c r="B42" s="51" t="s">
        <v>99</v>
      </c>
      <c r="C42" s="66" t="s">
        <v>100</v>
      </c>
      <c r="D42" s="72" t="s">
        <v>58</v>
      </c>
      <c r="E42" s="2">
        <v>3</v>
      </c>
      <c r="F42" s="147" t="s">
        <v>101</v>
      </c>
      <c r="G42" s="148"/>
      <c r="H42" s="73">
        <v>55</v>
      </c>
      <c r="I42" s="74" t="s">
        <v>102</v>
      </c>
      <c r="J42" s="56">
        <f t="shared" ref="J42:J44" si="4">IF(D42="Yes",(H42*E42)/6,"")</f>
        <v>27.5</v>
      </c>
      <c r="K42" s="34">
        <f t="shared" ref="K42:K44" si="5">IF(D42="Yes",SUM(E42*H42)-(J42),SUM(E42*H42))</f>
        <v>137.5</v>
      </c>
      <c r="L42" s="58">
        <f t="shared" ref="L42:L44" si="6">IF(ISBLANK(B42),"",(IFERROR((IF(B42="WMG",K42*0.6,K42)),"")))</f>
        <v>137.5</v>
      </c>
      <c r="M42" s="20" t="b">
        <f t="shared" si="3"/>
        <v>1</v>
      </c>
    </row>
    <row r="43" spans="2:13" x14ac:dyDescent="0.25">
      <c r="B43" s="51"/>
      <c r="C43" s="66"/>
      <c r="D43" s="43"/>
      <c r="E43" s="30"/>
      <c r="F43" s="149"/>
      <c r="G43" s="150"/>
      <c r="H43" s="40"/>
      <c r="I43" s="44"/>
      <c r="J43" s="56" t="str">
        <f t="shared" si="4"/>
        <v/>
      </c>
      <c r="K43" s="34">
        <f t="shared" si="5"/>
        <v>0</v>
      </c>
      <c r="L43" s="58" t="str">
        <f t="shared" si="6"/>
        <v/>
      </c>
      <c r="M43" s="20" t="b">
        <f t="shared" si="3"/>
        <v>0</v>
      </c>
    </row>
    <row r="44" spans="2:13" x14ac:dyDescent="0.25">
      <c r="B44" s="51"/>
      <c r="C44" s="66"/>
      <c r="D44" s="43"/>
      <c r="E44" s="30"/>
      <c r="F44" s="149"/>
      <c r="G44" s="150"/>
      <c r="H44" s="40"/>
      <c r="I44" s="44"/>
      <c r="J44" s="56" t="str">
        <f t="shared" si="4"/>
        <v/>
      </c>
      <c r="K44" s="34">
        <f t="shared" si="5"/>
        <v>0</v>
      </c>
      <c r="L44" s="58" t="str">
        <f t="shared" si="6"/>
        <v/>
      </c>
      <c r="M44" s="20" t="b">
        <f t="shared" si="3"/>
        <v>0</v>
      </c>
    </row>
    <row r="45" spans="2:13" x14ac:dyDescent="0.25">
      <c r="B45" s="57"/>
      <c r="H45" s="142" t="s">
        <v>87</v>
      </c>
      <c r="I45" s="142"/>
      <c r="J45" s="68">
        <f>SUM(J41:J44)</f>
        <v>111.5</v>
      </c>
      <c r="K45" s="69">
        <f>SUM(K41:K44)</f>
        <v>557.5</v>
      </c>
    </row>
    <row r="46" spans="2:13" x14ac:dyDescent="0.25">
      <c r="B46" s="57"/>
      <c r="C46" s="77" t="s">
        <v>103</v>
      </c>
      <c r="D46" s="20" t="s">
        <v>58</v>
      </c>
      <c r="E46" s="20" t="s">
        <v>62</v>
      </c>
      <c r="H46" s="142" t="s">
        <v>88</v>
      </c>
      <c r="I46" s="142"/>
      <c r="J46" s="70"/>
      <c r="K46" s="69">
        <f>SUM(L41:L44)</f>
        <v>389.5</v>
      </c>
    </row>
    <row r="47" spans="2:13" ht="30" x14ac:dyDescent="0.25">
      <c r="B47" s="57"/>
      <c r="C47" s="77" t="s">
        <v>104</v>
      </c>
      <c r="D47" s="20" t="s">
        <v>95</v>
      </c>
      <c r="E47" s="20" t="s">
        <v>99</v>
      </c>
      <c r="K47" s="23"/>
    </row>
    <row r="48" spans="2:13" x14ac:dyDescent="0.25">
      <c r="B48" s="57"/>
      <c r="I48" s="143" t="s">
        <v>105</v>
      </c>
      <c r="J48" s="144"/>
      <c r="K48" s="69">
        <f>SUM(K33+K38+K45)</f>
        <v>12684.083333333332</v>
      </c>
    </row>
    <row r="49" spans="2:15" x14ac:dyDescent="0.25">
      <c r="B49" s="57"/>
      <c r="I49" s="145" t="s">
        <v>106</v>
      </c>
      <c r="J49" s="145"/>
      <c r="K49" s="75">
        <f>J33+J45</f>
        <v>1572.9166666666665</v>
      </c>
    </row>
    <row r="50" spans="2:15" ht="15.75" thickBot="1" x14ac:dyDescent="0.3">
      <c r="B50" s="59"/>
      <c r="C50" s="60"/>
      <c r="D50" s="60"/>
      <c r="E50" s="60"/>
      <c r="F50" s="60"/>
      <c r="G50" s="60"/>
      <c r="H50" s="60"/>
      <c r="I50" s="146" t="s">
        <v>88</v>
      </c>
      <c r="J50" s="146"/>
      <c r="K50" s="76">
        <f>SUM(K34+K38+K46)</f>
        <v>11725.083333333332</v>
      </c>
    </row>
    <row r="53" spans="2:15" x14ac:dyDescent="0.25">
      <c r="C53" s="37"/>
      <c r="M53" s="141"/>
      <c r="N53" s="141"/>
      <c r="O53" s="141"/>
    </row>
    <row r="54" spans="2:15" x14ac:dyDescent="0.25">
      <c r="K54" s="58"/>
      <c r="M54" s="19"/>
      <c r="N54" s="61"/>
      <c r="O54" s="19"/>
    </row>
    <row r="55" spans="2:15" x14ac:dyDescent="0.25">
      <c r="N55" s="58"/>
      <c r="O55" s="58"/>
    </row>
    <row r="56" spans="2:15" x14ac:dyDescent="0.25">
      <c r="N56" s="58"/>
      <c r="O56" s="58"/>
    </row>
    <row r="57" spans="2:15" x14ac:dyDescent="0.25">
      <c r="N57" s="58"/>
      <c r="O57" s="58"/>
    </row>
    <row r="58" spans="2:15" x14ac:dyDescent="0.25">
      <c r="N58" s="58"/>
      <c r="O58" s="58"/>
    </row>
    <row r="59" spans="2:15" x14ac:dyDescent="0.25">
      <c r="N59" s="58"/>
      <c r="O59" s="58"/>
    </row>
    <row r="60" spans="2:15" x14ac:dyDescent="0.25">
      <c r="I60" s="63"/>
      <c r="J60" s="63"/>
      <c r="K60" s="63"/>
      <c r="N60" s="58"/>
      <c r="O60" s="58"/>
    </row>
    <row r="61" spans="2:15" x14ac:dyDescent="0.25">
      <c r="I61" s="63"/>
      <c r="J61" s="63"/>
      <c r="K61" s="63"/>
      <c r="N61" s="58"/>
      <c r="O61" s="58"/>
    </row>
    <row r="62" spans="2:15" x14ac:dyDescent="0.25">
      <c r="I62" s="63"/>
      <c r="J62" s="63"/>
      <c r="K62" s="63"/>
      <c r="N62" s="58"/>
      <c r="O62" s="58"/>
    </row>
    <row r="63" spans="2:15" x14ac:dyDescent="0.25">
      <c r="N63" s="58"/>
      <c r="O63" s="58"/>
    </row>
    <row r="64" spans="2:15" x14ac:dyDescent="0.25">
      <c r="N64" s="58"/>
      <c r="O64" s="58"/>
    </row>
    <row r="65" spans="3:15" x14ac:dyDescent="0.25">
      <c r="I65" s="58"/>
      <c r="N65" s="58"/>
      <c r="O65" s="58"/>
    </row>
    <row r="66" spans="3:15" x14ac:dyDescent="0.25">
      <c r="N66" s="58"/>
      <c r="O66" s="58"/>
    </row>
    <row r="67" spans="3:15" x14ac:dyDescent="0.25">
      <c r="N67" s="58"/>
      <c r="O67" s="58"/>
    </row>
    <row r="68" spans="3:15" x14ac:dyDescent="0.25">
      <c r="N68" s="58"/>
      <c r="O68" s="58"/>
    </row>
    <row r="71" spans="3:15" x14ac:dyDescent="0.25">
      <c r="M71" s="141"/>
      <c r="N71" s="141"/>
      <c r="O71" s="141"/>
    </row>
    <row r="72" spans="3:15" x14ac:dyDescent="0.25">
      <c r="M72" s="19"/>
      <c r="N72" s="61"/>
      <c r="O72" s="19"/>
    </row>
    <row r="73" spans="3:15" x14ac:dyDescent="0.25">
      <c r="N73" s="58"/>
      <c r="O73" s="58"/>
    </row>
    <row r="74" spans="3:15" x14ac:dyDescent="0.25">
      <c r="N74" s="58"/>
      <c r="O74" s="58"/>
    </row>
    <row r="75" spans="3:15" x14ac:dyDescent="0.25">
      <c r="N75" s="58"/>
      <c r="O75" s="58"/>
    </row>
    <row r="76" spans="3:15" x14ac:dyDescent="0.25">
      <c r="C76" s="62"/>
      <c r="N76" s="58"/>
      <c r="O76" s="58"/>
    </row>
    <row r="77" spans="3:15" x14ac:dyDescent="0.25">
      <c r="N77" s="58"/>
      <c r="O77" s="58"/>
    </row>
    <row r="78" spans="3:15" x14ac:dyDescent="0.25">
      <c r="N78" s="58"/>
      <c r="O78" s="58"/>
    </row>
    <row r="79" spans="3:15" x14ac:dyDescent="0.25">
      <c r="N79" s="58"/>
      <c r="O79" s="58"/>
    </row>
    <row r="80" spans="3:15" x14ac:dyDescent="0.25">
      <c r="N80" s="58"/>
      <c r="O80" s="58"/>
    </row>
    <row r="81" spans="14:15" x14ac:dyDescent="0.25">
      <c r="N81" s="58"/>
      <c r="O81" s="58"/>
    </row>
  </sheetData>
  <sheetProtection algorithmName="SHA-512" hashValue="W3LUw4816Z7zBNqn2HmYn/JlSk1MsA0VRR7arc2hrkVzPreruPFrCfhvxJdawjd/5b+VIEc0P97pj56M9qJgBQ==" saltValue="sJ3nRBeSOtJV2+DWXNnfXQ==" spinCount="100000" sheet="1" selectLockedCells="1"/>
  <mergeCells count="31">
    <mergeCell ref="B5:C8"/>
    <mergeCell ref="D5:H8"/>
    <mergeCell ref="I6:J6"/>
    <mergeCell ref="I7:K7"/>
    <mergeCell ref="B2:F2"/>
    <mergeCell ref="B3:C3"/>
    <mergeCell ref="D3:F3"/>
    <mergeCell ref="I3:K3"/>
    <mergeCell ref="B4:C4"/>
    <mergeCell ref="I37:J37"/>
    <mergeCell ref="B40:C40"/>
    <mergeCell ref="F40:G40"/>
    <mergeCell ref="F41:G41"/>
    <mergeCell ref="B9:C9"/>
    <mergeCell ref="H33:I33"/>
    <mergeCell ref="H34:I34"/>
    <mergeCell ref="B36:D36"/>
    <mergeCell ref="F36:G36"/>
    <mergeCell ref="I36:J36"/>
    <mergeCell ref="F42:G42"/>
    <mergeCell ref="F43:G43"/>
    <mergeCell ref="F44:G44"/>
    <mergeCell ref="B37:D37"/>
    <mergeCell ref="F37:G37"/>
    <mergeCell ref="M71:O71"/>
    <mergeCell ref="H45:I45"/>
    <mergeCell ref="H46:I46"/>
    <mergeCell ref="I48:J48"/>
    <mergeCell ref="I49:J49"/>
    <mergeCell ref="I50:J50"/>
    <mergeCell ref="M53:O53"/>
  </mergeCells>
  <dataValidations count="5">
    <dataValidation operator="lessThan" allowBlank="1" errorTitle="Error" error="Maximum grant is £15,000" sqref="K50" xr:uid="{00000000-0002-0000-0200-000000000000}"/>
    <dataValidation type="decimal" allowBlank="1" showErrorMessage="1" errorTitle="Error" error="Input a number between 0 - 9999" sqref="E37 E41:E44 E11:E32" xr:uid="{00000000-0002-0000-0200-000001000000}">
      <formula1>0</formula1>
      <formula2>9999</formula2>
    </dataValidation>
    <dataValidation type="decimal" allowBlank="1" showErrorMessage="1" errorTitle="Error" error="Please enter a number between 0 - 99999" sqref="H37 H41:H44" xr:uid="{00000000-0002-0000-0200-000002000000}">
      <formula1>0</formula1>
      <formula2>99999</formula2>
    </dataValidation>
    <dataValidation type="list" allowBlank="1" showDropDown="1" showInputMessage="1" showErrorMessage="1" sqref="B41:B44" xr:uid="{00000000-0002-0000-0200-000003000000}">
      <formula1>$D$47:$E$47</formula1>
    </dataValidation>
    <dataValidation type="list" allowBlank="1" showDropDown="1" showInputMessage="1" showErrorMessage="1" sqref="D11:D32" xr:uid="{00000000-0002-0000-0200-000004000000}">
      <formula1>$D$46:$E$46</formula1>
    </dataValidation>
  </dataValidations>
  <pageMargins left="0.31496062992125984" right="0.31496062992125984" top="0.35433070866141736" bottom="0.35433070866141736" header="0.31496062992125984" footer="0.31496062992125984"/>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04AD-A0B7-414B-BEEB-F4FB508DA12E}">
  <sheetPr>
    <tabColor rgb="FF92D050"/>
    <pageSetUpPr fitToPage="1"/>
  </sheetPr>
  <dimension ref="B1:O81"/>
  <sheetViews>
    <sheetView showGridLines="0" showZeros="0" zoomScaleNormal="100" workbookViewId="0">
      <selection activeCell="E11" sqref="E11"/>
    </sheetView>
  </sheetViews>
  <sheetFormatPr defaultColWidth="11.42578125" defaultRowHeight="15" x14ac:dyDescent="0.25"/>
  <cols>
    <col min="1" max="1" width="4.7109375" style="20" customWidth="1"/>
    <col min="2" max="2" width="5.7109375" style="20" bestFit="1" customWidth="1"/>
    <col min="3" max="3" width="51.7109375" style="20" bestFit="1" customWidth="1"/>
    <col min="4" max="4" width="5.7109375" style="20" bestFit="1" customWidth="1"/>
    <col min="5" max="5" width="8.42578125" style="20" bestFit="1" customWidth="1"/>
    <col min="6" max="6" width="76.7109375" style="20" bestFit="1" customWidth="1"/>
    <col min="7" max="7" width="14.7109375" style="20" bestFit="1" customWidth="1"/>
    <col min="8" max="8" width="17.7109375" style="20" bestFit="1" customWidth="1"/>
    <col min="9" max="9" width="14.7109375" style="20" bestFit="1" customWidth="1"/>
    <col min="10" max="10" width="10.42578125" style="20" bestFit="1" customWidth="1"/>
    <col min="11" max="11" width="17.42578125" style="20" bestFit="1" customWidth="1"/>
    <col min="12" max="12" width="12.7109375" style="20" hidden="1" customWidth="1"/>
    <col min="13" max="13" width="6" style="20" hidden="1" customWidth="1"/>
    <col min="14" max="14" width="12" style="20" customWidth="1"/>
    <col min="15" max="15" width="15" style="20" customWidth="1"/>
    <col min="16" max="16384" width="11.42578125" style="20"/>
  </cols>
  <sheetData>
    <row r="1" spans="2:13" ht="15.75" thickBot="1" x14ac:dyDescent="0.3"/>
    <row r="2" spans="2:13" ht="15.75" x14ac:dyDescent="0.25">
      <c r="B2" s="170" t="s">
        <v>46</v>
      </c>
      <c r="C2" s="171"/>
      <c r="D2" s="171"/>
      <c r="E2" s="171"/>
      <c r="F2" s="171"/>
      <c r="G2" s="53"/>
      <c r="H2" s="53"/>
      <c r="I2" s="53"/>
      <c r="J2" s="18"/>
      <c r="K2" s="54"/>
    </row>
    <row r="3" spans="2:13" x14ac:dyDescent="0.25">
      <c r="B3" s="166" t="s">
        <v>47</v>
      </c>
      <c r="C3" s="167"/>
      <c r="D3" s="172"/>
      <c r="E3" s="172"/>
      <c r="F3" s="172"/>
      <c r="G3" s="19"/>
      <c r="I3" s="141"/>
      <c r="J3" s="141"/>
      <c r="K3" s="169"/>
    </row>
    <row r="4" spans="2:13" x14ac:dyDescent="0.25">
      <c r="B4" s="166" t="s">
        <v>49</v>
      </c>
      <c r="C4" s="167"/>
      <c r="D4" s="50"/>
      <c r="E4" s="89"/>
      <c r="F4" s="22"/>
      <c r="K4" s="23"/>
    </row>
    <row r="5" spans="2:13" x14ac:dyDescent="0.25">
      <c r="B5" s="166" t="s">
        <v>50</v>
      </c>
      <c r="C5" s="167"/>
      <c r="D5" s="168"/>
      <c r="E5" s="168"/>
      <c r="F5" s="168"/>
      <c r="G5" s="168"/>
      <c r="H5" s="168"/>
      <c r="K5" s="23"/>
    </row>
    <row r="6" spans="2:13" x14ac:dyDescent="0.25">
      <c r="B6" s="166"/>
      <c r="C6" s="167"/>
      <c r="D6" s="168"/>
      <c r="E6" s="168"/>
      <c r="F6" s="168"/>
      <c r="G6" s="168"/>
      <c r="H6" s="168"/>
      <c r="I6" s="141"/>
      <c r="J6" s="141"/>
      <c r="K6" s="23"/>
    </row>
    <row r="7" spans="2:13" x14ac:dyDescent="0.25">
      <c r="B7" s="166"/>
      <c r="C7" s="167"/>
      <c r="D7" s="168"/>
      <c r="E7" s="168"/>
      <c r="F7" s="168"/>
      <c r="G7" s="168"/>
      <c r="H7" s="168"/>
      <c r="I7" s="141"/>
      <c r="J7" s="141"/>
      <c r="K7" s="169"/>
    </row>
    <row r="8" spans="2:13" x14ac:dyDescent="0.25">
      <c r="B8" s="166"/>
      <c r="C8" s="167"/>
      <c r="D8" s="168"/>
      <c r="E8" s="168"/>
      <c r="F8" s="168"/>
      <c r="G8" s="168"/>
      <c r="H8" s="168"/>
      <c r="K8" s="23"/>
    </row>
    <row r="9" spans="2:13" x14ac:dyDescent="0.25">
      <c r="B9" s="158"/>
      <c r="C9" s="159"/>
      <c r="D9" s="24"/>
      <c r="E9" s="24"/>
      <c r="F9" s="24"/>
      <c r="G9" s="24"/>
      <c r="H9" s="24"/>
      <c r="I9" s="24"/>
      <c r="J9" s="24"/>
      <c r="K9" s="23"/>
    </row>
    <row r="10" spans="2:13" s="6" customFormat="1" x14ac:dyDescent="0.25">
      <c r="B10" s="55" t="s">
        <v>12</v>
      </c>
      <c r="C10" s="88" t="s">
        <v>52</v>
      </c>
      <c r="D10" s="25" t="s">
        <v>53</v>
      </c>
      <c r="E10" s="26" t="s">
        <v>16</v>
      </c>
      <c r="F10" s="87" t="s">
        <v>18</v>
      </c>
      <c r="G10" s="87" t="s">
        <v>20</v>
      </c>
      <c r="H10" s="26" t="s">
        <v>25</v>
      </c>
      <c r="I10" s="26" t="s">
        <v>27</v>
      </c>
      <c r="J10" s="26" t="s">
        <v>54</v>
      </c>
      <c r="K10" s="27" t="s">
        <v>55</v>
      </c>
      <c r="L10" s="6" t="s">
        <v>56</v>
      </c>
    </row>
    <row r="11" spans="2:13" x14ac:dyDescent="0.25">
      <c r="B11" s="52"/>
      <c r="C11" s="28" t="str">
        <f>IF(ISERROR(VLOOKUP(B11,Costs[],3,FALSE)),"",VLOOKUP(B11,Costs[],3,FALSE))</f>
        <v/>
      </c>
      <c r="D11" s="29"/>
      <c r="E11" s="30"/>
      <c r="F11" s="31"/>
      <c r="G11" s="32"/>
      <c r="H11" s="64">
        <f>IF(ISNA(VLOOKUP(B11,Costs[],5,FALSE)),0,VLOOKUP(B11,Costs[],5,FALSE))</f>
        <v>0</v>
      </c>
      <c r="I11" s="33">
        <f>IF(ISNA(VLOOKUP(B11,Costs[],4,FALSE)),0,VLOOKUP(B11,Costs[],4,FALSE))</f>
        <v>0</v>
      </c>
      <c r="J11" s="64" t="str">
        <f>IF(D11="Yes",(H11*E11)/6,"")</f>
        <v/>
      </c>
      <c r="K11" s="65">
        <f>IF(D11="Yes",SUM(E11*H11)-(J11),SUM(E11*H11))</f>
        <v>0</v>
      </c>
      <c r="L11" s="58" t="str">
        <f>IFERROR((IF((VLOOKUP(B11,Costs[],2,FALSE))="WMG",K11*0.6,K11)),"")</f>
        <v/>
      </c>
      <c r="M11" s="20" t="b">
        <f>K11=L11</f>
        <v>0</v>
      </c>
    </row>
    <row r="12" spans="2:13" x14ac:dyDescent="0.25">
      <c r="B12" s="52"/>
      <c r="C12" s="28" t="str">
        <f>IF(ISERROR(VLOOKUP(B12,Costs[],3,FALSE)),"",VLOOKUP(B12,Costs[],3,FALSE))</f>
        <v/>
      </c>
      <c r="D12" s="29"/>
      <c r="E12" s="30"/>
      <c r="F12" s="31"/>
      <c r="G12" s="32"/>
      <c r="H12" s="64">
        <f>IF(ISNA(VLOOKUP(B12,Costs[],5,FALSE)),0,VLOOKUP(B12,Costs[],5,FALSE))</f>
        <v>0</v>
      </c>
      <c r="I12" s="33">
        <f>IF(ISNA(VLOOKUP(B12,Costs[],4,FALSE)),0,VLOOKUP(B12,Costs[],4,FALSE))</f>
        <v>0</v>
      </c>
      <c r="J12" s="64" t="str">
        <f t="shared" ref="J12:J32" si="0">IF(D12="Yes",(H12*E12)/6,"")</f>
        <v/>
      </c>
      <c r="K12" s="65">
        <f t="shared" ref="K12:K32" si="1">IF(D12="Yes",SUM(E12*H12)-(J12),SUM(E12*H12))</f>
        <v>0</v>
      </c>
      <c r="L12" s="58" t="str">
        <f>IFERROR((IF((VLOOKUP(B12,Costs[],2,FALSE))="WMG",K12*0.6,K12)),"")</f>
        <v/>
      </c>
      <c r="M12" s="20" t="b">
        <f t="shared" ref="M12:M32" si="2">K12=L12</f>
        <v>0</v>
      </c>
    </row>
    <row r="13" spans="2:13" x14ac:dyDescent="0.25">
      <c r="B13" s="52"/>
      <c r="C13" s="28" t="str">
        <f>IF(ISERROR(VLOOKUP(B13,Costs[],3,FALSE)),"",VLOOKUP(B13,Costs[],3,FALSE))</f>
        <v/>
      </c>
      <c r="D13" s="29"/>
      <c r="E13" s="30"/>
      <c r="F13" s="31"/>
      <c r="G13" s="32"/>
      <c r="H13" s="64">
        <f>IF(ISNA(VLOOKUP(B13,Costs[],5,FALSE)),0,VLOOKUP(B13,Costs[],5,FALSE))</f>
        <v>0</v>
      </c>
      <c r="I13" s="33">
        <f>IF(ISNA(VLOOKUP(B13,Costs[],4,FALSE)),0,VLOOKUP(B13,Costs[],4,FALSE))</f>
        <v>0</v>
      </c>
      <c r="J13" s="64" t="str">
        <f t="shared" si="0"/>
        <v/>
      </c>
      <c r="K13" s="65">
        <f t="shared" si="1"/>
        <v>0</v>
      </c>
      <c r="L13" s="58" t="str">
        <f>IFERROR((IF((VLOOKUP(B13,Costs[],2,FALSE))="WMG",K13*0.6,K13)),"")</f>
        <v/>
      </c>
      <c r="M13" s="20" t="b">
        <f t="shared" si="2"/>
        <v>0</v>
      </c>
    </row>
    <row r="14" spans="2:13" x14ac:dyDescent="0.25">
      <c r="B14" s="52"/>
      <c r="C14" s="28" t="str">
        <f>IF(ISERROR(VLOOKUP(B14,Costs[],3,FALSE)),"",VLOOKUP(B14,Costs[],3,FALSE))</f>
        <v/>
      </c>
      <c r="D14" s="29"/>
      <c r="E14" s="30"/>
      <c r="F14" s="31"/>
      <c r="G14" s="32"/>
      <c r="H14" s="64">
        <f>IF(ISNA(VLOOKUP(B14,Costs[],5,FALSE)),0,VLOOKUP(B14,Costs[],5,FALSE))</f>
        <v>0</v>
      </c>
      <c r="I14" s="33">
        <f>IF(ISNA(VLOOKUP(B14,Costs[],4,FALSE)),0,VLOOKUP(B14,Costs[],4,FALSE))</f>
        <v>0</v>
      </c>
      <c r="J14" s="64" t="str">
        <f t="shared" si="0"/>
        <v/>
      </c>
      <c r="K14" s="65">
        <f t="shared" si="1"/>
        <v>0</v>
      </c>
      <c r="L14" s="58" t="str">
        <f>IFERROR((IF((VLOOKUP(B14,Costs[],2,FALSE))="WMG",K14*0.6,K14)),"")</f>
        <v/>
      </c>
      <c r="M14" s="20" t="b">
        <f t="shared" si="2"/>
        <v>0</v>
      </c>
    </row>
    <row r="15" spans="2:13" x14ac:dyDescent="0.25">
      <c r="B15" s="52"/>
      <c r="C15" s="28" t="str">
        <f>IF(ISERROR(VLOOKUP(B15,Costs[],3,FALSE)),"",VLOOKUP(B15,Costs[],3,FALSE))</f>
        <v/>
      </c>
      <c r="D15" s="29"/>
      <c r="E15" s="30"/>
      <c r="F15" s="31"/>
      <c r="G15" s="32"/>
      <c r="H15" s="64">
        <f>IF(ISNA(VLOOKUP(B15,Costs[],5,FALSE)),0,VLOOKUP(B15,Costs[],5,FALSE))</f>
        <v>0</v>
      </c>
      <c r="I15" s="33">
        <f>IF(ISNA(VLOOKUP(B15,Costs[],4,FALSE)),0,VLOOKUP(B15,Costs[],4,FALSE))</f>
        <v>0</v>
      </c>
      <c r="J15" s="64" t="str">
        <f t="shared" si="0"/>
        <v/>
      </c>
      <c r="K15" s="65">
        <f t="shared" si="1"/>
        <v>0</v>
      </c>
      <c r="L15" s="58" t="str">
        <f>IFERROR((IF((VLOOKUP(B15,Costs[],2,FALSE))="WMG",K15*0.6,K15)),"")</f>
        <v/>
      </c>
      <c r="M15" s="20" t="b">
        <f t="shared" si="2"/>
        <v>0</v>
      </c>
    </row>
    <row r="16" spans="2:13" x14ac:dyDescent="0.25">
      <c r="B16" s="52"/>
      <c r="C16" s="28" t="str">
        <f>IF(ISERROR(VLOOKUP(B16,Costs[],3,FALSE)),"",VLOOKUP(B16,Costs[],3,FALSE))</f>
        <v/>
      </c>
      <c r="D16" s="29"/>
      <c r="E16" s="30"/>
      <c r="F16" s="31"/>
      <c r="G16" s="32"/>
      <c r="H16" s="64">
        <f>IF(ISNA(VLOOKUP(B16,Costs[],5,FALSE)),0,VLOOKUP(B16,Costs[],5,FALSE))</f>
        <v>0</v>
      </c>
      <c r="I16" s="33">
        <f>IF(ISNA(VLOOKUP(B16,Costs[],4,FALSE)),0,VLOOKUP(B16,Costs[],4,FALSE))</f>
        <v>0</v>
      </c>
      <c r="J16" s="64" t="str">
        <f t="shared" si="0"/>
        <v/>
      </c>
      <c r="K16" s="65">
        <f t="shared" si="1"/>
        <v>0</v>
      </c>
      <c r="L16" s="58" t="str">
        <f>IFERROR((IF((VLOOKUP(B16,Costs[],2,FALSE))="WMG",K16*0.6,K16)),"")</f>
        <v/>
      </c>
      <c r="M16" s="20" t="b">
        <f t="shared" si="2"/>
        <v>0</v>
      </c>
    </row>
    <row r="17" spans="2:13" x14ac:dyDescent="0.25">
      <c r="B17" s="52"/>
      <c r="C17" s="28" t="str">
        <f>IF(ISERROR(VLOOKUP(B17,Costs[],3,FALSE)),"",VLOOKUP(B17,Costs[],3,FALSE))</f>
        <v/>
      </c>
      <c r="D17" s="29"/>
      <c r="E17" s="30"/>
      <c r="F17" s="31"/>
      <c r="G17" s="32"/>
      <c r="H17" s="64">
        <f>IF(ISNA(VLOOKUP(B17,Costs[],5,FALSE)),0,VLOOKUP(B17,Costs[],5,FALSE))</f>
        <v>0</v>
      </c>
      <c r="I17" s="33">
        <f>IF(ISNA(VLOOKUP(B17,Costs[],4,FALSE)),0,VLOOKUP(B17,Costs[],4,FALSE))</f>
        <v>0</v>
      </c>
      <c r="J17" s="64" t="str">
        <f t="shared" si="0"/>
        <v/>
      </c>
      <c r="K17" s="65">
        <f t="shared" si="1"/>
        <v>0</v>
      </c>
      <c r="L17" s="58" t="str">
        <f>IFERROR((IF((VLOOKUP(B17,Costs[],2,FALSE))="WMG",K17*0.6,K17)),"")</f>
        <v/>
      </c>
      <c r="M17" s="20" t="b">
        <f t="shared" si="2"/>
        <v>0</v>
      </c>
    </row>
    <row r="18" spans="2:13" x14ac:dyDescent="0.25">
      <c r="B18" s="52"/>
      <c r="C18" s="28" t="str">
        <f>IF(ISERROR(VLOOKUP(B18,Costs[],3,FALSE)),"",VLOOKUP(B18,Costs[],3,FALSE))</f>
        <v/>
      </c>
      <c r="D18" s="29"/>
      <c r="E18" s="30"/>
      <c r="F18" s="31"/>
      <c r="G18" s="32"/>
      <c r="H18" s="64">
        <f>IF(ISNA(VLOOKUP(B18,Costs[],5,FALSE)),0,VLOOKUP(B18,Costs[],5,FALSE))</f>
        <v>0</v>
      </c>
      <c r="I18" s="33">
        <f>IF(ISNA(VLOOKUP(B18,Costs[],4,FALSE)),0,VLOOKUP(B18,Costs[],4,FALSE))</f>
        <v>0</v>
      </c>
      <c r="J18" s="64" t="str">
        <f t="shared" si="0"/>
        <v/>
      </c>
      <c r="K18" s="65">
        <f t="shared" si="1"/>
        <v>0</v>
      </c>
      <c r="L18" s="58" t="str">
        <f>IFERROR((IF((VLOOKUP(B18,Costs[],2,FALSE))="WMG",K18*0.6,K18)),"")</f>
        <v/>
      </c>
      <c r="M18" s="20" t="b">
        <f t="shared" si="2"/>
        <v>0</v>
      </c>
    </row>
    <row r="19" spans="2:13" x14ac:dyDescent="0.25">
      <c r="B19" s="52"/>
      <c r="C19" s="28" t="str">
        <f>IF(ISERROR(VLOOKUP(B19,Costs[],3,FALSE)),"",VLOOKUP(B19,Costs[],3,FALSE))</f>
        <v/>
      </c>
      <c r="D19" s="29"/>
      <c r="E19" s="30"/>
      <c r="F19" s="31"/>
      <c r="G19" s="32"/>
      <c r="H19" s="64">
        <f>IF(ISNA(VLOOKUP(B19,Costs[],5,FALSE)),0,VLOOKUP(B19,Costs[],5,FALSE))</f>
        <v>0</v>
      </c>
      <c r="I19" s="33">
        <f>IF(ISNA(VLOOKUP(B19,Costs[],4,FALSE)),0,VLOOKUP(B19,Costs[],4,FALSE))</f>
        <v>0</v>
      </c>
      <c r="J19" s="64" t="str">
        <f t="shared" si="0"/>
        <v/>
      </c>
      <c r="K19" s="65">
        <f t="shared" si="1"/>
        <v>0</v>
      </c>
      <c r="L19" s="58" t="str">
        <f>IFERROR((IF((VLOOKUP(B19,Costs[],2,FALSE))="WMG",K19*0.6,K19)),"")</f>
        <v/>
      </c>
      <c r="M19" s="20" t="b">
        <f t="shared" si="2"/>
        <v>0</v>
      </c>
    </row>
    <row r="20" spans="2:13" x14ac:dyDescent="0.25">
      <c r="B20" s="52"/>
      <c r="C20" s="28" t="str">
        <f>IF(ISERROR(VLOOKUP(B20,Costs[],3,FALSE)),"",VLOOKUP(B20,Costs[],3,FALSE))</f>
        <v/>
      </c>
      <c r="D20" s="29"/>
      <c r="E20" s="30"/>
      <c r="F20" s="31"/>
      <c r="G20" s="32"/>
      <c r="H20" s="64">
        <f>IF(ISNA(VLOOKUP(B20,Costs[],5,FALSE)),0,VLOOKUP(B20,Costs[],5,FALSE))</f>
        <v>0</v>
      </c>
      <c r="I20" s="33">
        <f>IF(ISNA(VLOOKUP(B20,Costs[],4,FALSE)),0,VLOOKUP(B20,Costs[],4,FALSE))</f>
        <v>0</v>
      </c>
      <c r="J20" s="64" t="str">
        <f t="shared" si="0"/>
        <v/>
      </c>
      <c r="K20" s="65">
        <f t="shared" si="1"/>
        <v>0</v>
      </c>
      <c r="L20" s="58" t="str">
        <f>IFERROR((IF((VLOOKUP(B20,Costs[],2,FALSE))="WMG",K20*0.6,K20)),"")</f>
        <v/>
      </c>
      <c r="M20" s="20" t="b">
        <f t="shared" si="2"/>
        <v>0</v>
      </c>
    </row>
    <row r="21" spans="2:13" x14ac:dyDescent="0.25">
      <c r="B21" s="52"/>
      <c r="C21" s="28" t="str">
        <f>IF(ISERROR(VLOOKUP(B21,Costs[],3,FALSE)),"",VLOOKUP(B21,Costs[],3,FALSE))</f>
        <v/>
      </c>
      <c r="D21" s="29"/>
      <c r="E21" s="30"/>
      <c r="F21" s="31"/>
      <c r="G21" s="32"/>
      <c r="H21" s="64">
        <f>IF(ISNA(VLOOKUP(B21,Costs[],5,FALSE)),0,VLOOKUP(B21,Costs[],5,FALSE))</f>
        <v>0</v>
      </c>
      <c r="I21" s="33">
        <f>IF(ISNA(VLOOKUP(B21,Costs[],4,FALSE)),0,VLOOKUP(B21,Costs[],4,FALSE))</f>
        <v>0</v>
      </c>
      <c r="J21" s="64" t="str">
        <f t="shared" si="0"/>
        <v/>
      </c>
      <c r="K21" s="65">
        <f t="shared" si="1"/>
        <v>0</v>
      </c>
      <c r="L21" s="58" t="str">
        <f>IFERROR((IF((VLOOKUP(B21,Costs[],2,FALSE))="WMG",K21*0.6,K21)),"")</f>
        <v/>
      </c>
      <c r="M21" s="20" t="b">
        <f t="shared" si="2"/>
        <v>0</v>
      </c>
    </row>
    <row r="22" spans="2:13" x14ac:dyDescent="0.25">
      <c r="B22" s="52"/>
      <c r="C22" s="28" t="str">
        <f>IF(ISERROR(VLOOKUP(B22,Costs[],3,FALSE)),"",VLOOKUP(B22,Costs[],3,FALSE))</f>
        <v/>
      </c>
      <c r="D22" s="29"/>
      <c r="E22" s="30"/>
      <c r="F22" s="31"/>
      <c r="G22" s="32"/>
      <c r="H22" s="64">
        <f>IF(ISNA(VLOOKUP(B22,Costs[],5,FALSE)),0,VLOOKUP(B22,Costs[],5,FALSE))</f>
        <v>0</v>
      </c>
      <c r="I22" s="33">
        <f>IF(ISNA(VLOOKUP(B22,Costs[],4,FALSE)),0,VLOOKUP(B22,Costs[],4,FALSE))</f>
        <v>0</v>
      </c>
      <c r="J22" s="64" t="str">
        <f t="shared" si="0"/>
        <v/>
      </c>
      <c r="K22" s="65">
        <f t="shared" si="1"/>
        <v>0</v>
      </c>
      <c r="L22" s="58" t="str">
        <f>IFERROR((IF((VLOOKUP(B22,Costs[],2,FALSE))="WMG",K22*0.6,K22)),"")</f>
        <v/>
      </c>
      <c r="M22" s="20" t="b">
        <f t="shared" si="2"/>
        <v>0</v>
      </c>
    </row>
    <row r="23" spans="2:13" x14ac:dyDescent="0.25">
      <c r="B23" s="52"/>
      <c r="C23" s="28" t="str">
        <f>IF(ISERROR(VLOOKUP(B23,Costs[],3,FALSE)),"",VLOOKUP(B23,Costs[],3,FALSE))</f>
        <v/>
      </c>
      <c r="D23" s="29"/>
      <c r="E23" s="30"/>
      <c r="F23" s="31"/>
      <c r="G23" s="32"/>
      <c r="H23" s="64">
        <f>IF(ISNA(VLOOKUP(B23,Costs[],5,FALSE)),0,VLOOKUP(B23,Costs[],5,FALSE))</f>
        <v>0</v>
      </c>
      <c r="I23" s="33">
        <f>IF(ISNA(VLOOKUP(B23,Costs[],4,FALSE)),0,VLOOKUP(B23,Costs[],4,FALSE))</f>
        <v>0</v>
      </c>
      <c r="J23" s="64" t="str">
        <f t="shared" si="0"/>
        <v/>
      </c>
      <c r="K23" s="65">
        <f t="shared" si="1"/>
        <v>0</v>
      </c>
      <c r="L23" s="58" t="str">
        <f>IFERROR((IF((VLOOKUP(B23,Costs[],2,FALSE))="WMG",K23*0.6,K23)),"")</f>
        <v/>
      </c>
      <c r="M23" s="20" t="b">
        <f t="shared" si="2"/>
        <v>0</v>
      </c>
    </row>
    <row r="24" spans="2:13" x14ac:dyDescent="0.25">
      <c r="B24" s="52"/>
      <c r="C24" s="28" t="str">
        <f>IF(ISERROR(VLOOKUP(B24,Costs[],3,FALSE)),"",VLOOKUP(B24,Costs[],3,FALSE))</f>
        <v/>
      </c>
      <c r="D24" s="29"/>
      <c r="E24" s="30"/>
      <c r="F24" s="31"/>
      <c r="G24" s="32"/>
      <c r="H24" s="64">
        <f>IF(ISNA(VLOOKUP(B24,Costs[],5,FALSE)),0,VLOOKUP(B24,Costs[],5,FALSE))</f>
        <v>0</v>
      </c>
      <c r="I24" s="33">
        <f>IF(ISNA(VLOOKUP(B24,Costs[],4,FALSE)),0,VLOOKUP(B24,Costs[],4,FALSE))</f>
        <v>0</v>
      </c>
      <c r="J24" s="64" t="str">
        <f t="shared" si="0"/>
        <v/>
      </c>
      <c r="K24" s="65">
        <f t="shared" si="1"/>
        <v>0</v>
      </c>
      <c r="L24" s="58" t="str">
        <f>IFERROR((IF((VLOOKUP(B24,Costs[],2,FALSE))="WMG",K24*0.6,K24)),"")</f>
        <v/>
      </c>
      <c r="M24" s="20" t="b">
        <f t="shared" si="2"/>
        <v>0</v>
      </c>
    </row>
    <row r="25" spans="2:13" x14ac:dyDescent="0.25">
      <c r="B25" s="52"/>
      <c r="C25" s="28" t="str">
        <f>IF(ISERROR(VLOOKUP(B25,Costs[],3,FALSE)),"",VLOOKUP(B25,Costs[],3,FALSE))</f>
        <v/>
      </c>
      <c r="D25" s="29"/>
      <c r="E25" s="30"/>
      <c r="F25" s="31"/>
      <c r="G25" s="32"/>
      <c r="H25" s="64">
        <f>IF(ISNA(VLOOKUP(B25,Costs[],5,FALSE)),0,VLOOKUP(B25,Costs[],5,FALSE))</f>
        <v>0</v>
      </c>
      <c r="I25" s="33">
        <f>IF(ISNA(VLOOKUP(B25,Costs[],4,FALSE)),0,VLOOKUP(B25,Costs[],4,FALSE))</f>
        <v>0</v>
      </c>
      <c r="J25" s="64" t="str">
        <f t="shared" si="0"/>
        <v/>
      </c>
      <c r="K25" s="65">
        <f t="shared" si="1"/>
        <v>0</v>
      </c>
      <c r="L25" s="58" t="str">
        <f>IFERROR((IF((VLOOKUP(B25,Costs[],2,FALSE))="WMG",K25*0.6,K25)),"")</f>
        <v/>
      </c>
      <c r="M25" s="20" t="b">
        <f t="shared" si="2"/>
        <v>0</v>
      </c>
    </row>
    <row r="26" spans="2:13" x14ac:dyDescent="0.25">
      <c r="B26" s="52"/>
      <c r="C26" s="28" t="str">
        <f>IF(ISERROR(VLOOKUP(B26,Costs[],3,FALSE)),"",VLOOKUP(B26,Costs[],3,FALSE))</f>
        <v/>
      </c>
      <c r="D26" s="29"/>
      <c r="E26" s="30"/>
      <c r="F26" s="31"/>
      <c r="G26" s="32"/>
      <c r="H26" s="64">
        <f>IF(ISNA(VLOOKUP(B26,Costs[],5,FALSE)),0,VLOOKUP(B26,Costs[],5,FALSE))</f>
        <v>0</v>
      </c>
      <c r="I26" s="33">
        <f>IF(ISNA(VLOOKUP(B26,Costs[],4,FALSE)),0,VLOOKUP(B26,Costs[],4,FALSE))</f>
        <v>0</v>
      </c>
      <c r="J26" s="64" t="str">
        <f t="shared" si="0"/>
        <v/>
      </c>
      <c r="K26" s="65">
        <f t="shared" si="1"/>
        <v>0</v>
      </c>
      <c r="L26" s="58" t="str">
        <f>IFERROR((IF((VLOOKUP(B26,Costs[],2,FALSE))="WMG",K26*0.6,K26)),"")</f>
        <v/>
      </c>
      <c r="M26" s="20" t="b">
        <f t="shared" si="2"/>
        <v>0</v>
      </c>
    </row>
    <row r="27" spans="2:13" x14ac:dyDescent="0.25">
      <c r="B27" s="52"/>
      <c r="C27" s="28" t="str">
        <f>IF(ISERROR(VLOOKUP(B27,Costs[],3,FALSE)),"",VLOOKUP(B27,Costs[],3,FALSE))</f>
        <v/>
      </c>
      <c r="D27" s="29"/>
      <c r="E27" s="30"/>
      <c r="F27" s="31"/>
      <c r="G27" s="32"/>
      <c r="H27" s="64">
        <f>IF(ISNA(VLOOKUP(B27,Costs[],5,FALSE)),0,VLOOKUP(B27,Costs[],5,FALSE))</f>
        <v>0</v>
      </c>
      <c r="I27" s="33">
        <f>IF(ISNA(VLOOKUP(B27,Costs[],4,FALSE)),0,VLOOKUP(B27,Costs[],4,FALSE))</f>
        <v>0</v>
      </c>
      <c r="J27" s="64" t="str">
        <f t="shared" si="0"/>
        <v/>
      </c>
      <c r="K27" s="65">
        <f t="shared" si="1"/>
        <v>0</v>
      </c>
      <c r="L27" s="58" t="str">
        <f>IFERROR((IF((VLOOKUP(B27,Costs[],2,FALSE))="WMG",K27*0.6,K27)),"")</f>
        <v/>
      </c>
      <c r="M27" s="20" t="b">
        <f t="shared" si="2"/>
        <v>0</v>
      </c>
    </row>
    <row r="28" spans="2:13" x14ac:dyDescent="0.25">
      <c r="B28" s="52"/>
      <c r="C28" s="28" t="str">
        <f>IF(ISERROR(VLOOKUP(B28,Costs[],3,FALSE)),"",VLOOKUP(B28,Costs[],3,FALSE))</f>
        <v/>
      </c>
      <c r="D28" s="29"/>
      <c r="E28" s="30"/>
      <c r="F28" s="31"/>
      <c r="G28" s="32"/>
      <c r="H28" s="64">
        <f>IF(ISNA(VLOOKUP(B28,Costs[],5,FALSE)),0,VLOOKUP(B28,Costs[],5,FALSE))</f>
        <v>0</v>
      </c>
      <c r="I28" s="33">
        <f>IF(ISNA(VLOOKUP(B28,Costs[],4,FALSE)),0,VLOOKUP(B28,Costs[],4,FALSE))</f>
        <v>0</v>
      </c>
      <c r="J28" s="64" t="str">
        <f t="shared" si="0"/>
        <v/>
      </c>
      <c r="K28" s="65">
        <f t="shared" si="1"/>
        <v>0</v>
      </c>
      <c r="L28" s="58" t="str">
        <f>IFERROR((IF((VLOOKUP(B28,Costs[],2,FALSE))="WMG",K28*0.6,K28)),"")</f>
        <v/>
      </c>
      <c r="M28" s="20" t="b">
        <f t="shared" si="2"/>
        <v>0</v>
      </c>
    </row>
    <row r="29" spans="2:13" x14ac:dyDescent="0.25">
      <c r="B29" s="52"/>
      <c r="C29" s="28" t="str">
        <f>IF(ISERROR(VLOOKUP(B29,Costs[],3,FALSE)),"",VLOOKUP(B29,Costs[],3,FALSE))</f>
        <v/>
      </c>
      <c r="D29" s="29"/>
      <c r="E29" s="30"/>
      <c r="F29" s="31"/>
      <c r="G29" s="32"/>
      <c r="H29" s="64">
        <f>IF(ISNA(VLOOKUP(B29,Costs[],5,FALSE)),0,VLOOKUP(B29,Costs[],5,FALSE))</f>
        <v>0</v>
      </c>
      <c r="I29" s="33">
        <f>IF(ISNA(VLOOKUP(B29,Costs[],4,FALSE)),0,VLOOKUP(B29,Costs[],4,FALSE))</f>
        <v>0</v>
      </c>
      <c r="J29" s="64" t="str">
        <f t="shared" si="0"/>
        <v/>
      </c>
      <c r="K29" s="65">
        <f t="shared" si="1"/>
        <v>0</v>
      </c>
      <c r="L29" s="58" t="str">
        <f>IFERROR((IF((VLOOKUP(B29,Costs[],2,FALSE))="WMG",K29*0.6,K29)),"")</f>
        <v/>
      </c>
      <c r="M29" s="20" t="b">
        <f t="shared" si="2"/>
        <v>0</v>
      </c>
    </row>
    <row r="30" spans="2:13" x14ac:dyDescent="0.25">
      <c r="B30" s="52"/>
      <c r="C30" s="28" t="str">
        <f>IF(ISERROR(VLOOKUP(B30,Costs[],3,FALSE)),"",VLOOKUP(B30,Costs[],3,FALSE))</f>
        <v/>
      </c>
      <c r="D30" s="29"/>
      <c r="E30" s="30"/>
      <c r="F30" s="31"/>
      <c r="G30" s="35"/>
      <c r="H30" s="64">
        <f>IF(ISNA(VLOOKUP(B30,Costs[],5,FALSE)),0,VLOOKUP(B30,Costs[],5,FALSE))</f>
        <v>0</v>
      </c>
      <c r="I30" s="33">
        <f>IF(ISNA(VLOOKUP(B30,Costs[],4,FALSE)),0,VLOOKUP(B30,Costs[],4,FALSE))</f>
        <v>0</v>
      </c>
      <c r="J30" s="64" t="str">
        <f t="shared" si="0"/>
        <v/>
      </c>
      <c r="K30" s="65">
        <f t="shared" si="1"/>
        <v>0</v>
      </c>
      <c r="L30" s="58" t="str">
        <f>IFERROR((IF((VLOOKUP(B30,Costs[],2,FALSE))="WMG",K30*0.6,K30)),"")</f>
        <v/>
      </c>
      <c r="M30" s="20" t="b">
        <f t="shared" si="2"/>
        <v>0</v>
      </c>
    </row>
    <row r="31" spans="2:13" x14ac:dyDescent="0.25">
      <c r="B31" s="52"/>
      <c r="C31" s="28" t="str">
        <f>IF(ISERROR(VLOOKUP(B31,Costs[],3,FALSE)),"",VLOOKUP(B31,Costs[],3,FALSE))</f>
        <v/>
      </c>
      <c r="D31" s="29"/>
      <c r="E31" s="30"/>
      <c r="F31" s="31"/>
      <c r="G31" s="35"/>
      <c r="H31" s="64">
        <f>IF(ISNA(VLOOKUP(B31,Costs[],5,FALSE)),0,VLOOKUP(B31,Costs[],5,FALSE))</f>
        <v>0</v>
      </c>
      <c r="I31" s="33">
        <f>IF(ISNA(VLOOKUP(B31,Costs[],4,FALSE)),0,VLOOKUP(B31,Costs[],4,FALSE))</f>
        <v>0</v>
      </c>
      <c r="J31" s="64" t="str">
        <f t="shared" si="0"/>
        <v/>
      </c>
      <c r="K31" s="65">
        <f t="shared" si="1"/>
        <v>0</v>
      </c>
      <c r="L31" s="58" t="str">
        <f>IFERROR((IF((VLOOKUP(B31,Costs[],2,FALSE))="WMG",K31*0.6,K31)),"")</f>
        <v/>
      </c>
      <c r="M31" s="20" t="b">
        <f t="shared" si="2"/>
        <v>0</v>
      </c>
    </row>
    <row r="32" spans="2:13" x14ac:dyDescent="0.25">
      <c r="B32" s="52"/>
      <c r="C32" s="28" t="str">
        <f>IF(ISERROR(VLOOKUP(B32,Costs[],3,FALSE)),"",VLOOKUP(B32,Costs[],3,FALSE))</f>
        <v/>
      </c>
      <c r="D32" s="29"/>
      <c r="E32" s="30"/>
      <c r="F32" s="31"/>
      <c r="G32" s="35"/>
      <c r="H32" s="64">
        <f>IF(ISNA(VLOOKUP(B32,Costs[],5,FALSE)),0,VLOOKUP(B32,Costs[],5,FALSE))</f>
        <v>0</v>
      </c>
      <c r="I32" s="33">
        <f>IF(ISNA(VLOOKUP(B32,Costs[],4,FALSE)),0,VLOOKUP(B32,Costs[],4,FALSE))</f>
        <v>0</v>
      </c>
      <c r="J32" s="64" t="str">
        <f t="shared" si="0"/>
        <v/>
      </c>
      <c r="K32" s="65">
        <f t="shared" si="1"/>
        <v>0</v>
      </c>
      <c r="L32" s="58" t="str">
        <f>IFERROR((IF((VLOOKUP(B32,Costs[],2,FALSE))="WMG",K32*0.6,K32)),"")</f>
        <v/>
      </c>
      <c r="M32" s="20" t="b">
        <f t="shared" si="2"/>
        <v>0</v>
      </c>
    </row>
    <row r="33" spans="2:13" x14ac:dyDescent="0.25">
      <c r="B33" s="57"/>
      <c r="H33" s="142" t="s">
        <v>87</v>
      </c>
      <c r="I33" s="142"/>
      <c r="J33" s="68">
        <f>SUM(J11:J32)</f>
        <v>0</v>
      </c>
      <c r="K33" s="69">
        <f>SUM(K11:K32)</f>
        <v>0</v>
      </c>
      <c r="L33" s="63"/>
    </row>
    <row r="34" spans="2:13" x14ac:dyDescent="0.25">
      <c r="B34" s="57"/>
      <c r="H34" s="160" t="s">
        <v>88</v>
      </c>
      <c r="I34" s="161"/>
      <c r="J34" s="68"/>
      <c r="K34" s="69">
        <f>SUM(L11:L32)</f>
        <v>0</v>
      </c>
      <c r="L34" s="63"/>
    </row>
    <row r="35" spans="2:13" x14ac:dyDescent="0.25">
      <c r="B35" s="57"/>
      <c r="H35" s="36"/>
      <c r="I35" s="37"/>
      <c r="J35" s="58"/>
      <c r="K35" s="38"/>
    </row>
    <row r="36" spans="2:13" s="6" customFormat="1" x14ac:dyDescent="0.25">
      <c r="B36" s="162" t="s">
        <v>22</v>
      </c>
      <c r="C36" s="163"/>
      <c r="D36" s="157"/>
      <c r="E36" s="26" t="s">
        <v>16</v>
      </c>
      <c r="F36" s="156" t="s">
        <v>18</v>
      </c>
      <c r="G36" s="157"/>
      <c r="H36" s="39" t="s">
        <v>89</v>
      </c>
      <c r="I36" s="164" t="s">
        <v>27</v>
      </c>
      <c r="J36" s="165"/>
      <c r="K36" s="27" t="s">
        <v>90</v>
      </c>
    </row>
    <row r="37" spans="2:13" x14ac:dyDescent="0.25">
      <c r="B37" s="151"/>
      <c r="C37" s="152"/>
      <c r="D37" s="153"/>
      <c r="E37" s="30"/>
      <c r="F37" s="149"/>
      <c r="G37" s="150"/>
      <c r="H37" s="40"/>
      <c r="I37" s="149"/>
      <c r="J37" s="150"/>
      <c r="K37" s="41">
        <f>SUM(E37*H37)</f>
        <v>0</v>
      </c>
    </row>
    <row r="38" spans="2:13" x14ac:dyDescent="0.25">
      <c r="B38" s="57"/>
      <c r="F38" s="37"/>
      <c r="G38" s="37"/>
      <c r="H38" s="19"/>
      <c r="I38" s="19"/>
      <c r="J38" s="70" t="s">
        <v>87</v>
      </c>
      <c r="K38" s="69">
        <f>K37</f>
        <v>0</v>
      </c>
    </row>
    <row r="39" spans="2:13" x14ac:dyDescent="0.25">
      <c r="B39" s="57"/>
      <c r="F39" s="37"/>
      <c r="G39" s="37"/>
      <c r="H39" s="6"/>
      <c r="I39" s="6"/>
      <c r="J39" s="19"/>
      <c r="K39" s="71"/>
    </row>
    <row r="40" spans="2:13" x14ac:dyDescent="0.25">
      <c r="B40" s="154" t="s">
        <v>94</v>
      </c>
      <c r="C40" s="155"/>
      <c r="D40" s="42" t="s">
        <v>53</v>
      </c>
      <c r="E40" s="26" t="s">
        <v>16</v>
      </c>
      <c r="F40" s="156" t="s">
        <v>18</v>
      </c>
      <c r="G40" s="157"/>
      <c r="H40" s="39" t="s">
        <v>25</v>
      </c>
      <c r="I40" s="39" t="s">
        <v>27</v>
      </c>
      <c r="J40" s="26" t="s">
        <v>14</v>
      </c>
      <c r="K40" s="27" t="s">
        <v>55</v>
      </c>
    </row>
    <row r="41" spans="2:13" x14ac:dyDescent="0.25">
      <c r="B41" s="51"/>
      <c r="C41" s="66"/>
      <c r="D41" s="43"/>
      <c r="E41" s="30"/>
      <c r="F41" s="149"/>
      <c r="G41" s="150"/>
      <c r="H41" s="40"/>
      <c r="I41" s="44"/>
      <c r="J41" s="56" t="str">
        <f>IF(D41="Yes",(H41*E41)/6,"")</f>
        <v/>
      </c>
      <c r="K41" s="34">
        <f>IF(D41="Yes",SUM(E41*H41)-(J41),SUM(E41*H41))</f>
        <v>0</v>
      </c>
      <c r="L41" s="58" t="str">
        <f>IF(ISBLANK(B41),"",(IFERROR((IF(B41="WMG",K41*0.6,K41)),"")))</f>
        <v/>
      </c>
      <c r="M41" s="20" t="b">
        <f t="shared" ref="M41:M44" si="3">K41=L41</f>
        <v>0</v>
      </c>
    </row>
    <row r="42" spans="2:13" x14ac:dyDescent="0.25">
      <c r="B42" s="51"/>
      <c r="C42" s="66"/>
      <c r="D42" s="72"/>
      <c r="E42" s="2"/>
      <c r="F42" s="147"/>
      <c r="G42" s="148"/>
      <c r="H42" s="73"/>
      <c r="I42" s="74"/>
      <c r="J42" s="56" t="str">
        <f t="shared" ref="J42:J44" si="4">IF(D42="Yes",(H42*E42)/6,"")</f>
        <v/>
      </c>
      <c r="K42" s="34">
        <f>IF(D42="Yes",SUM(E42*H42)-(J42),SUM(E42*H42))</f>
        <v>0</v>
      </c>
      <c r="L42" s="58" t="str">
        <f t="shared" ref="L42:L44" si="5">IF(ISBLANK(B42),"",(IFERROR((IF(B42="WMG",K42*0.6,K42)),"")))</f>
        <v/>
      </c>
      <c r="M42" s="20" t="b">
        <f t="shared" si="3"/>
        <v>0</v>
      </c>
    </row>
    <row r="43" spans="2:13" x14ac:dyDescent="0.25">
      <c r="B43" s="51"/>
      <c r="C43" s="66"/>
      <c r="D43" s="43"/>
      <c r="E43" s="30"/>
      <c r="F43" s="149"/>
      <c r="G43" s="150"/>
      <c r="H43" s="40"/>
      <c r="I43" s="44"/>
      <c r="J43" s="56" t="str">
        <f t="shared" si="4"/>
        <v/>
      </c>
      <c r="K43" s="34">
        <f t="shared" ref="K43:K44" si="6">IF(D43="Yes",SUM(E43*H43)-(J43),SUM(E43*H43))</f>
        <v>0</v>
      </c>
      <c r="L43" s="58" t="str">
        <f t="shared" si="5"/>
        <v/>
      </c>
      <c r="M43" s="20" t="b">
        <f t="shared" si="3"/>
        <v>0</v>
      </c>
    </row>
    <row r="44" spans="2:13" x14ac:dyDescent="0.25">
      <c r="B44" s="51"/>
      <c r="C44" s="66"/>
      <c r="D44" s="43"/>
      <c r="E44" s="30"/>
      <c r="F44" s="149"/>
      <c r="G44" s="150"/>
      <c r="H44" s="40"/>
      <c r="I44" s="44"/>
      <c r="J44" s="56" t="str">
        <f t="shared" si="4"/>
        <v/>
      </c>
      <c r="K44" s="34">
        <f t="shared" si="6"/>
        <v>0</v>
      </c>
      <c r="L44" s="58" t="str">
        <f t="shared" si="5"/>
        <v/>
      </c>
      <c r="M44" s="20" t="b">
        <f t="shared" si="3"/>
        <v>0</v>
      </c>
    </row>
    <row r="45" spans="2:13" x14ac:dyDescent="0.25">
      <c r="B45" s="57"/>
      <c r="H45" s="142" t="s">
        <v>87</v>
      </c>
      <c r="I45" s="142"/>
      <c r="J45" s="68">
        <f>SUM(J41:J44)</f>
        <v>0</v>
      </c>
      <c r="K45" s="69">
        <f>SUM(K41:K44)</f>
        <v>0</v>
      </c>
    </row>
    <row r="46" spans="2:13" x14ac:dyDescent="0.25">
      <c r="B46" s="57"/>
      <c r="C46" s="77" t="s">
        <v>103</v>
      </c>
      <c r="D46" s="20" t="s">
        <v>58</v>
      </c>
      <c r="E46" s="20" t="s">
        <v>62</v>
      </c>
      <c r="H46" s="142" t="s">
        <v>88</v>
      </c>
      <c r="I46" s="142"/>
      <c r="J46" s="70"/>
      <c r="K46" s="69">
        <f>SUM(L41:L44)</f>
        <v>0</v>
      </c>
    </row>
    <row r="47" spans="2:13" ht="30" x14ac:dyDescent="0.25">
      <c r="B47" s="57"/>
      <c r="C47" s="77" t="s">
        <v>104</v>
      </c>
      <c r="D47" s="20" t="s">
        <v>95</v>
      </c>
      <c r="E47" s="20" t="s">
        <v>99</v>
      </c>
      <c r="K47" s="23"/>
    </row>
    <row r="48" spans="2:13" x14ac:dyDescent="0.25">
      <c r="B48" s="57"/>
      <c r="I48" s="143" t="s">
        <v>105</v>
      </c>
      <c r="J48" s="144"/>
      <c r="K48" s="69">
        <f>SUM(K33+K38+K45)</f>
        <v>0</v>
      </c>
    </row>
    <row r="49" spans="2:15" x14ac:dyDescent="0.25">
      <c r="B49" s="57"/>
      <c r="I49" s="145" t="s">
        <v>106</v>
      </c>
      <c r="J49" s="145"/>
      <c r="K49" s="75">
        <f>J33+J45</f>
        <v>0</v>
      </c>
    </row>
    <row r="50" spans="2:15" ht="15.75" thickBot="1" x14ac:dyDescent="0.3">
      <c r="B50" s="59"/>
      <c r="C50" s="60"/>
      <c r="D50" s="60"/>
      <c r="E50" s="60"/>
      <c r="F50" s="60"/>
      <c r="G50" s="60"/>
      <c r="H50" s="60"/>
      <c r="I50" s="146" t="s">
        <v>88</v>
      </c>
      <c r="J50" s="146"/>
      <c r="K50" s="76">
        <f>SUM(K34+K38+K46)</f>
        <v>0</v>
      </c>
    </row>
    <row r="53" spans="2:15" x14ac:dyDescent="0.25">
      <c r="C53" s="37"/>
      <c r="M53" s="141"/>
      <c r="N53" s="141"/>
      <c r="O53" s="141"/>
    </row>
    <row r="54" spans="2:15" x14ac:dyDescent="0.25">
      <c r="K54" s="58"/>
      <c r="M54" s="19"/>
      <c r="N54" s="61"/>
      <c r="O54" s="19"/>
    </row>
    <row r="55" spans="2:15" x14ac:dyDescent="0.25">
      <c r="N55" s="58"/>
      <c r="O55" s="58"/>
    </row>
    <row r="56" spans="2:15" x14ac:dyDescent="0.25">
      <c r="N56" s="58"/>
      <c r="O56" s="58"/>
    </row>
    <row r="57" spans="2:15" x14ac:dyDescent="0.25">
      <c r="N57" s="58"/>
      <c r="O57" s="58"/>
    </row>
    <row r="58" spans="2:15" x14ac:dyDescent="0.25">
      <c r="N58" s="58"/>
      <c r="O58" s="58"/>
    </row>
    <row r="59" spans="2:15" x14ac:dyDescent="0.25">
      <c r="N59" s="58"/>
      <c r="O59" s="58"/>
    </row>
    <row r="60" spans="2:15" x14ac:dyDescent="0.25">
      <c r="I60" s="63"/>
      <c r="J60" s="63"/>
      <c r="K60" s="63"/>
      <c r="N60" s="58"/>
      <c r="O60" s="58"/>
    </row>
    <row r="61" spans="2:15" x14ac:dyDescent="0.25">
      <c r="I61" s="63"/>
      <c r="J61" s="63"/>
      <c r="K61" s="63"/>
      <c r="N61" s="58"/>
      <c r="O61" s="58"/>
    </row>
    <row r="62" spans="2:15" x14ac:dyDescent="0.25">
      <c r="I62" s="63"/>
      <c r="J62" s="63"/>
      <c r="K62" s="63"/>
      <c r="N62" s="58"/>
      <c r="O62" s="58"/>
    </row>
    <row r="63" spans="2:15" x14ac:dyDescent="0.25">
      <c r="N63" s="58"/>
      <c r="O63" s="58"/>
    </row>
    <row r="64" spans="2:15" x14ac:dyDescent="0.25">
      <c r="N64" s="58"/>
      <c r="O64" s="58"/>
    </row>
    <row r="65" spans="3:15" x14ac:dyDescent="0.25">
      <c r="I65" s="58"/>
      <c r="N65" s="58"/>
      <c r="O65" s="58"/>
    </row>
    <row r="66" spans="3:15" x14ac:dyDescent="0.25">
      <c r="N66" s="58"/>
      <c r="O66" s="58"/>
    </row>
    <row r="67" spans="3:15" x14ac:dyDescent="0.25">
      <c r="N67" s="58"/>
      <c r="O67" s="58"/>
    </row>
    <row r="68" spans="3:15" x14ac:dyDescent="0.25">
      <c r="N68" s="58"/>
      <c r="O68" s="58"/>
    </row>
    <row r="71" spans="3:15" x14ac:dyDescent="0.25">
      <c r="M71" s="141"/>
      <c r="N71" s="141"/>
      <c r="O71" s="141"/>
    </row>
    <row r="72" spans="3:15" x14ac:dyDescent="0.25">
      <c r="M72" s="19"/>
      <c r="N72" s="61"/>
      <c r="O72" s="19"/>
    </row>
    <row r="73" spans="3:15" x14ac:dyDescent="0.25">
      <c r="N73" s="58"/>
      <c r="O73" s="58"/>
    </row>
    <row r="74" spans="3:15" x14ac:dyDescent="0.25">
      <c r="N74" s="58"/>
      <c r="O74" s="58"/>
    </row>
    <row r="75" spans="3:15" x14ac:dyDescent="0.25">
      <c r="N75" s="58"/>
      <c r="O75" s="58"/>
    </row>
    <row r="76" spans="3:15" x14ac:dyDescent="0.25">
      <c r="C76" s="62"/>
      <c r="N76" s="58"/>
      <c r="O76" s="58"/>
    </row>
    <row r="77" spans="3:15" x14ac:dyDescent="0.25">
      <c r="N77" s="58"/>
      <c r="O77" s="58"/>
    </row>
    <row r="78" spans="3:15" x14ac:dyDescent="0.25">
      <c r="N78" s="58"/>
      <c r="O78" s="58"/>
    </row>
    <row r="79" spans="3:15" x14ac:dyDescent="0.25">
      <c r="N79" s="58"/>
      <c r="O79" s="58"/>
    </row>
    <row r="80" spans="3:15" x14ac:dyDescent="0.25">
      <c r="N80" s="58"/>
      <c r="O80" s="58"/>
    </row>
    <row r="81" spans="14:15" x14ac:dyDescent="0.25">
      <c r="N81" s="58"/>
      <c r="O81" s="58"/>
    </row>
  </sheetData>
  <sheetProtection algorithmName="SHA-512" hashValue="jRm0hat8s4yHFvX/Jn2CViUcUWro+HaYutBazBLNLji6RTUml87r80XrI+43Xivq1qujVBTp1gRw7nce7PLX1w==" saltValue="jIGZj+uV+QStQ91hkDLFmA==" spinCount="100000" sheet="1" objects="1" scenarios="1" insertRows="0" selectLockedCells="1"/>
  <mergeCells count="31">
    <mergeCell ref="I49:J49"/>
    <mergeCell ref="I50:J50"/>
    <mergeCell ref="M53:O53"/>
    <mergeCell ref="M71:O71"/>
    <mergeCell ref="F42:G42"/>
    <mergeCell ref="F43:G43"/>
    <mergeCell ref="F44:G44"/>
    <mergeCell ref="H45:I45"/>
    <mergeCell ref="H46:I46"/>
    <mergeCell ref="I48:J48"/>
    <mergeCell ref="F41:G41"/>
    <mergeCell ref="B9:C9"/>
    <mergeCell ref="H33:I33"/>
    <mergeCell ref="H34:I34"/>
    <mergeCell ref="B36:D36"/>
    <mergeCell ref="F36:G36"/>
    <mergeCell ref="I36:J36"/>
    <mergeCell ref="B37:D37"/>
    <mergeCell ref="F37:G37"/>
    <mergeCell ref="I37:J37"/>
    <mergeCell ref="B40:C40"/>
    <mergeCell ref="F40:G40"/>
    <mergeCell ref="B5:C8"/>
    <mergeCell ref="D5:H8"/>
    <mergeCell ref="I6:J6"/>
    <mergeCell ref="I7:K7"/>
    <mergeCell ref="B2:F2"/>
    <mergeCell ref="B3:C3"/>
    <mergeCell ref="D3:F3"/>
    <mergeCell ref="I3:K3"/>
    <mergeCell ref="B4:C4"/>
  </mergeCells>
  <dataValidations count="5">
    <dataValidation type="list" allowBlank="1" showDropDown="1" showInputMessage="1" showErrorMessage="1" sqref="D11:D32" xr:uid="{4B76173A-2C97-419E-9B78-9570D45145E2}">
      <formula1>$D$46:$E$46</formula1>
    </dataValidation>
    <dataValidation type="list" allowBlank="1" showDropDown="1" showInputMessage="1" showErrorMessage="1" sqref="B41:B44" xr:uid="{0DA88268-F131-4D1A-AEDB-4EF17D6BE61B}">
      <formula1>$D$47:$E$47</formula1>
    </dataValidation>
    <dataValidation type="decimal" allowBlank="1" showErrorMessage="1" errorTitle="Error" error="Please enter a number between 0 - 99999" sqref="H37 H41:H44" xr:uid="{C82A01E7-C015-4625-82DD-BA161B2F1E7E}">
      <formula1>0</formula1>
      <formula2>99999</formula2>
    </dataValidation>
    <dataValidation type="decimal" allowBlank="1" showErrorMessage="1" errorTitle="Error" error="Input a number between 0 - 9999" sqref="E37 E41:E44 E11:E32" xr:uid="{4459FBD1-1129-4651-A78F-0FBBEFA0C163}">
      <formula1>0</formula1>
      <formula2>9999</formula2>
    </dataValidation>
    <dataValidation operator="lessThan" allowBlank="1" errorTitle="Error" error="Maximum grant is £15,000" sqref="K50" xr:uid="{52E5F560-D2B1-442B-893E-AF986031EF41}"/>
  </dataValidations>
  <pageMargins left="0.31496062992125984" right="0.31496062992125984" top="0.35433070866141736" bottom="0.35433070866141736" header="0.31496062992125984" footer="0.31496062992125984"/>
  <pageSetup paperSize="8"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H55"/>
  <sheetViews>
    <sheetView zoomScaleNormal="100" workbookViewId="0">
      <selection activeCell="B1" sqref="B1"/>
    </sheetView>
  </sheetViews>
  <sheetFormatPr defaultColWidth="11.42578125" defaultRowHeight="15" x14ac:dyDescent="0.25"/>
  <cols>
    <col min="1" max="1" width="2.42578125" style="4" customWidth="1"/>
    <col min="2" max="2" width="7.28515625" style="3" customWidth="1"/>
    <col min="3" max="3" width="8.42578125" style="3" customWidth="1"/>
    <col min="4" max="4" width="52.7109375" style="11" bestFit="1" customWidth="1"/>
    <col min="5" max="5" width="14.7109375" style="3" customWidth="1"/>
    <col min="6" max="6" width="11.7109375" style="17" customWidth="1"/>
    <col min="7" max="7" width="152.7109375" style="12" customWidth="1"/>
    <col min="8" max="8" width="42" style="4" customWidth="1"/>
    <col min="9" max="16384" width="11.42578125" style="4"/>
  </cols>
  <sheetData>
    <row r="1" spans="2:8" s="67" customFormat="1" ht="16.5" thickBot="1" x14ac:dyDescent="0.3"/>
    <row r="2" spans="2:8" s="67" customFormat="1" ht="32.25" customHeight="1" x14ac:dyDescent="0.25">
      <c r="B2" s="95"/>
      <c r="C2" s="179" t="s">
        <v>107</v>
      </c>
      <c r="D2" s="173" t="s">
        <v>108</v>
      </c>
      <c r="E2" s="173"/>
      <c r="F2" s="173"/>
      <c r="G2" s="174"/>
    </row>
    <row r="3" spans="2:8" s="67" customFormat="1" ht="25.5" customHeight="1" x14ac:dyDescent="0.25">
      <c r="B3" s="97"/>
      <c r="C3" s="180"/>
      <c r="D3" s="175"/>
      <c r="E3" s="175"/>
      <c r="F3" s="175"/>
      <c r="G3" s="176"/>
    </row>
    <row r="4" spans="2:8" s="67" customFormat="1" ht="27" customHeight="1" x14ac:dyDescent="0.25">
      <c r="B4" s="98"/>
      <c r="C4" s="181" t="s">
        <v>109</v>
      </c>
      <c r="D4" s="175"/>
      <c r="E4" s="175"/>
      <c r="F4" s="175"/>
      <c r="G4" s="176"/>
    </row>
    <row r="5" spans="2:8" s="5" customFormat="1" ht="26.25" customHeight="1" thickBot="1" x14ac:dyDescent="0.3">
      <c r="B5" s="96"/>
      <c r="C5" s="182"/>
      <c r="D5" s="177"/>
      <c r="E5" s="177"/>
      <c r="F5" s="177"/>
      <c r="G5" s="178"/>
    </row>
    <row r="6" spans="2:8" s="80" customFormat="1" x14ac:dyDescent="0.25">
      <c r="B6" s="81" t="s">
        <v>12</v>
      </c>
      <c r="C6" s="81" t="s">
        <v>110</v>
      </c>
      <c r="D6" s="82" t="s">
        <v>111</v>
      </c>
      <c r="E6" s="83" t="s">
        <v>27</v>
      </c>
      <c r="F6" s="84" t="s">
        <v>40</v>
      </c>
      <c r="G6" s="49" t="s">
        <v>112</v>
      </c>
    </row>
    <row r="7" spans="2:8" s="5" customFormat="1" x14ac:dyDescent="0.25">
      <c r="B7" s="78" t="s">
        <v>57</v>
      </c>
      <c r="C7" s="91" t="s">
        <v>95</v>
      </c>
      <c r="D7" s="13" t="s">
        <v>113</v>
      </c>
      <c r="E7" s="15" t="s">
        <v>114</v>
      </c>
      <c r="F7" s="79">
        <v>530</v>
      </c>
      <c r="G7" s="45" t="s">
        <v>115</v>
      </c>
      <c r="H7" s="85"/>
    </row>
    <row r="8" spans="2:8" s="5" customFormat="1" x14ac:dyDescent="0.25">
      <c r="B8" s="78" t="s">
        <v>116</v>
      </c>
      <c r="C8" s="92" t="s">
        <v>95</v>
      </c>
      <c r="D8" s="13" t="s">
        <v>117</v>
      </c>
      <c r="E8" s="15" t="s">
        <v>118</v>
      </c>
      <c r="F8" s="79">
        <v>370</v>
      </c>
      <c r="G8" s="45" t="s">
        <v>119</v>
      </c>
      <c r="H8" s="85"/>
    </row>
    <row r="9" spans="2:8" s="5" customFormat="1" x14ac:dyDescent="0.25">
      <c r="B9" s="78" t="s">
        <v>120</v>
      </c>
      <c r="C9" s="91" t="s">
        <v>95</v>
      </c>
      <c r="D9" s="13" t="s">
        <v>121</v>
      </c>
      <c r="E9" s="15" t="s">
        <v>118</v>
      </c>
      <c r="F9" s="79">
        <v>335</v>
      </c>
      <c r="G9" s="45" t="s">
        <v>122</v>
      </c>
      <c r="H9" s="85"/>
    </row>
    <row r="10" spans="2:8" s="5" customFormat="1" x14ac:dyDescent="0.25">
      <c r="B10" s="78" t="s">
        <v>123</v>
      </c>
      <c r="C10" s="92" t="s">
        <v>95</v>
      </c>
      <c r="D10" s="13" t="s">
        <v>124</v>
      </c>
      <c r="E10" s="15" t="s">
        <v>125</v>
      </c>
      <c r="F10" s="79">
        <v>2.2000000000000002</v>
      </c>
      <c r="G10" s="45" t="s">
        <v>126</v>
      </c>
      <c r="H10" s="85"/>
    </row>
    <row r="11" spans="2:8" s="5" customFormat="1" x14ac:dyDescent="0.25">
      <c r="B11" s="78" t="s">
        <v>61</v>
      </c>
      <c r="C11" s="91" t="s">
        <v>127</v>
      </c>
      <c r="D11" s="13" t="s">
        <v>128</v>
      </c>
      <c r="E11" s="15" t="s">
        <v>118</v>
      </c>
      <c r="F11" s="79">
        <v>335</v>
      </c>
      <c r="G11" s="45" t="s">
        <v>129</v>
      </c>
      <c r="H11" s="85"/>
    </row>
    <row r="12" spans="2:8" s="5" customFormat="1" ht="30" x14ac:dyDescent="0.25">
      <c r="B12" s="78" t="s">
        <v>64</v>
      </c>
      <c r="C12" s="92" t="s">
        <v>127</v>
      </c>
      <c r="D12" s="13" t="s">
        <v>130</v>
      </c>
      <c r="E12" s="15" t="s">
        <v>118</v>
      </c>
      <c r="F12" s="79">
        <v>310</v>
      </c>
      <c r="G12" s="45" t="s">
        <v>131</v>
      </c>
      <c r="H12" s="85"/>
    </row>
    <row r="13" spans="2:8" s="5" customFormat="1" x14ac:dyDescent="0.25">
      <c r="B13" s="78" t="s">
        <v>132</v>
      </c>
      <c r="C13" s="91" t="s">
        <v>95</v>
      </c>
      <c r="D13" s="13" t="s">
        <v>133</v>
      </c>
      <c r="E13" s="15" t="s">
        <v>134</v>
      </c>
      <c r="F13" s="79">
        <v>21</v>
      </c>
      <c r="G13" s="45" t="s">
        <v>135</v>
      </c>
      <c r="H13" s="85"/>
    </row>
    <row r="14" spans="2:8" s="5" customFormat="1" x14ac:dyDescent="0.25">
      <c r="B14" s="78" t="s">
        <v>136</v>
      </c>
      <c r="C14" s="92" t="s">
        <v>95</v>
      </c>
      <c r="D14" s="13" t="s">
        <v>137</v>
      </c>
      <c r="E14" s="15" t="s">
        <v>114</v>
      </c>
      <c r="F14" s="79">
        <v>10</v>
      </c>
      <c r="G14" s="45" t="s">
        <v>138</v>
      </c>
      <c r="H14" s="85"/>
    </row>
    <row r="15" spans="2:8" s="5" customFormat="1" x14ac:dyDescent="0.25">
      <c r="B15" s="78" t="s">
        <v>139</v>
      </c>
      <c r="C15" s="91" t="s">
        <v>95</v>
      </c>
      <c r="D15" s="14" t="s">
        <v>140</v>
      </c>
      <c r="E15" s="16" t="s">
        <v>114</v>
      </c>
      <c r="F15" s="79">
        <v>35</v>
      </c>
      <c r="G15" s="46" t="s">
        <v>141</v>
      </c>
      <c r="H15" s="85"/>
    </row>
    <row r="16" spans="2:8" s="5" customFormat="1" x14ac:dyDescent="0.25">
      <c r="B16" s="78" t="s">
        <v>142</v>
      </c>
      <c r="C16" s="92" t="s">
        <v>95</v>
      </c>
      <c r="D16" s="13" t="s">
        <v>143</v>
      </c>
      <c r="E16" s="15" t="s">
        <v>114</v>
      </c>
      <c r="F16" s="79">
        <v>60</v>
      </c>
      <c r="G16" s="45" t="s">
        <v>144</v>
      </c>
      <c r="H16" s="85"/>
    </row>
    <row r="17" spans="2:8" s="5" customFormat="1" x14ac:dyDescent="0.25">
      <c r="B17" s="78" t="s">
        <v>145</v>
      </c>
      <c r="C17" s="91" t="s">
        <v>95</v>
      </c>
      <c r="D17" s="13" t="s">
        <v>146</v>
      </c>
      <c r="E17" s="15" t="s">
        <v>114</v>
      </c>
      <c r="F17" s="79">
        <v>159.99</v>
      </c>
      <c r="G17" s="45" t="s">
        <v>147</v>
      </c>
      <c r="H17" s="85"/>
    </row>
    <row r="18" spans="2:8" s="5" customFormat="1" ht="30" x14ac:dyDescent="0.25">
      <c r="B18" s="78" t="s">
        <v>69</v>
      </c>
      <c r="C18" s="92" t="s">
        <v>95</v>
      </c>
      <c r="D18" s="13" t="s">
        <v>148</v>
      </c>
      <c r="E18" s="15" t="s">
        <v>149</v>
      </c>
      <c r="F18" s="79">
        <v>145</v>
      </c>
      <c r="G18" s="45" t="s">
        <v>150</v>
      </c>
      <c r="H18" s="85"/>
    </row>
    <row r="19" spans="2:8" s="5" customFormat="1" x14ac:dyDescent="0.25">
      <c r="B19" s="78" t="s">
        <v>151</v>
      </c>
      <c r="C19" s="91" t="s">
        <v>95</v>
      </c>
      <c r="D19" s="13" t="s">
        <v>152</v>
      </c>
      <c r="E19" s="15" t="s">
        <v>114</v>
      </c>
      <c r="F19" s="79">
        <v>400</v>
      </c>
      <c r="G19" s="45" t="s">
        <v>153</v>
      </c>
      <c r="H19" s="85"/>
    </row>
    <row r="20" spans="2:8" s="5" customFormat="1" ht="30" x14ac:dyDescent="0.25">
      <c r="B20" s="78" t="s">
        <v>154</v>
      </c>
      <c r="C20" s="92" t="s">
        <v>95</v>
      </c>
      <c r="D20" s="13" t="s">
        <v>155</v>
      </c>
      <c r="E20" s="15" t="s">
        <v>114</v>
      </c>
      <c r="F20" s="79">
        <v>1385</v>
      </c>
      <c r="G20" s="45" t="s">
        <v>156</v>
      </c>
      <c r="H20" s="85"/>
    </row>
    <row r="21" spans="2:8" s="5" customFormat="1" x14ac:dyDescent="0.25">
      <c r="B21" s="78" t="s">
        <v>157</v>
      </c>
      <c r="C21" s="91" t="s">
        <v>95</v>
      </c>
      <c r="D21" s="13" t="s">
        <v>158</v>
      </c>
      <c r="E21" s="15" t="s">
        <v>114</v>
      </c>
      <c r="F21" s="79">
        <v>400</v>
      </c>
      <c r="G21" s="45" t="s">
        <v>159</v>
      </c>
      <c r="H21" s="85"/>
    </row>
    <row r="22" spans="2:8" s="5" customFormat="1" x14ac:dyDescent="0.25">
      <c r="B22" s="78" t="s">
        <v>160</v>
      </c>
      <c r="C22" s="92" t="s">
        <v>95</v>
      </c>
      <c r="D22" s="13" t="s">
        <v>161</v>
      </c>
      <c r="E22" s="15" t="s">
        <v>114</v>
      </c>
      <c r="F22" s="79">
        <v>35</v>
      </c>
      <c r="G22" s="45" t="s">
        <v>162</v>
      </c>
      <c r="H22" s="85"/>
    </row>
    <row r="23" spans="2:8" s="5" customFormat="1" x14ac:dyDescent="0.25">
      <c r="B23" s="78" t="s">
        <v>163</v>
      </c>
      <c r="C23" s="91" t="s">
        <v>95</v>
      </c>
      <c r="D23" s="13" t="s">
        <v>164</v>
      </c>
      <c r="E23" s="15" t="s">
        <v>114</v>
      </c>
      <c r="F23" s="79">
        <v>136</v>
      </c>
      <c r="G23" s="45" t="s">
        <v>165</v>
      </c>
      <c r="H23" s="85"/>
    </row>
    <row r="24" spans="2:8" s="5" customFormat="1" x14ac:dyDescent="0.25">
      <c r="B24" s="78" t="s">
        <v>166</v>
      </c>
      <c r="C24" s="92" t="s">
        <v>95</v>
      </c>
      <c r="D24" s="13" t="s">
        <v>167</v>
      </c>
      <c r="E24" s="15" t="s">
        <v>114</v>
      </c>
      <c r="F24" s="79">
        <v>12</v>
      </c>
      <c r="G24" s="45" t="s">
        <v>168</v>
      </c>
      <c r="H24" s="85"/>
    </row>
    <row r="25" spans="2:8" s="5" customFormat="1" x14ac:dyDescent="0.25">
      <c r="B25" s="90" t="s">
        <v>169</v>
      </c>
      <c r="C25" s="91" t="s">
        <v>95</v>
      </c>
      <c r="D25" s="13" t="s">
        <v>170</v>
      </c>
      <c r="E25" s="15" t="s">
        <v>114</v>
      </c>
      <c r="F25" s="79">
        <v>25</v>
      </c>
      <c r="G25" s="45" t="s">
        <v>171</v>
      </c>
      <c r="H25" s="85"/>
    </row>
    <row r="26" spans="2:8" s="5" customFormat="1" x14ac:dyDescent="0.25">
      <c r="B26" s="78" t="s">
        <v>172</v>
      </c>
      <c r="C26" s="92" t="s">
        <v>95</v>
      </c>
      <c r="D26" s="13" t="s">
        <v>173</v>
      </c>
      <c r="E26" s="15" t="s">
        <v>114</v>
      </c>
      <c r="F26" s="79">
        <v>58</v>
      </c>
      <c r="G26" s="45" t="s">
        <v>174</v>
      </c>
      <c r="H26" s="85"/>
    </row>
    <row r="27" spans="2:8" s="5" customFormat="1" x14ac:dyDescent="0.25">
      <c r="B27" s="78" t="s">
        <v>66</v>
      </c>
      <c r="C27" s="91" t="s">
        <v>95</v>
      </c>
      <c r="D27" s="13" t="s">
        <v>175</v>
      </c>
      <c r="E27" s="15" t="s">
        <v>114</v>
      </c>
      <c r="F27" s="79">
        <v>35</v>
      </c>
      <c r="G27" s="45" t="s">
        <v>176</v>
      </c>
      <c r="H27" s="85"/>
    </row>
    <row r="28" spans="2:8" s="5" customFormat="1" x14ac:dyDescent="0.25">
      <c r="B28" s="78" t="s">
        <v>73</v>
      </c>
      <c r="C28" s="92" t="s">
        <v>95</v>
      </c>
      <c r="D28" s="13" t="s">
        <v>177</v>
      </c>
      <c r="E28" s="15" t="s">
        <v>178</v>
      </c>
      <c r="F28" s="79">
        <v>115.8</v>
      </c>
      <c r="G28" s="45" t="s">
        <v>179</v>
      </c>
      <c r="H28" s="85"/>
    </row>
    <row r="29" spans="2:8" s="5" customFormat="1" ht="30" x14ac:dyDescent="0.25">
      <c r="B29" s="78" t="s">
        <v>180</v>
      </c>
      <c r="C29" s="91" t="s">
        <v>95</v>
      </c>
      <c r="D29" s="13" t="s">
        <v>181</v>
      </c>
      <c r="E29" s="15" t="s">
        <v>178</v>
      </c>
      <c r="F29" s="79">
        <v>240</v>
      </c>
      <c r="G29" s="45" t="s">
        <v>179</v>
      </c>
    </row>
    <row r="30" spans="2:8" s="5" customFormat="1" ht="29.45" customHeight="1" x14ac:dyDescent="0.25">
      <c r="B30" s="78" t="s">
        <v>182</v>
      </c>
      <c r="C30" s="93" t="s">
        <v>99</v>
      </c>
      <c r="D30" s="13" t="s">
        <v>183</v>
      </c>
      <c r="E30" s="15" t="s">
        <v>184</v>
      </c>
      <c r="F30" s="79">
        <v>1.75</v>
      </c>
      <c r="G30" s="47" t="s">
        <v>185</v>
      </c>
    </row>
    <row r="31" spans="2:8" s="5" customFormat="1" x14ac:dyDescent="0.25">
      <c r="B31" s="78" t="s">
        <v>186</v>
      </c>
      <c r="C31" s="94" t="s">
        <v>99</v>
      </c>
      <c r="D31" s="13" t="s">
        <v>187</v>
      </c>
      <c r="E31" s="15" t="s">
        <v>118</v>
      </c>
      <c r="F31" s="79">
        <v>635</v>
      </c>
      <c r="G31" s="47" t="s">
        <v>188</v>
      </c>
    </row>
    <row r="32" spans="2:8" s="5" customFormat="1" x14ac:dyDescent="0.25">
      <c r="B32" s="78" t="s">
        <v>75</v>
      </c>
      <c r="C32" s="93" t="s">
        <v>99</v>
      </c>
      <c r="D32" s="13" t="s">
        <v>189</v>
      </c>
      <c r="E32" s="15" t="s">
        <v>118</v>
      </c>
      <c r="F32" s="79">
        <v>1385</v>
      </c>
      <c r="G32" s="47" t="s">
        <v>190</v>
      </c>
    </row>
    <row r="33" spans="2:7" s="5" customFormat="1" x14ac:dyDescent="0.25">
      <c r="B33" s="78" t="s">
        <v>191</v>
      </c>
      <c r="C33" s="94" t="s">
        <v>99</v>
      </c>
      <c r="D33" s="13" t="s">
        <v>192</v>
      </c>
      <c r="E33" s="15" t="s">
        <v>193</v>
      </c>
      <c r="F33" s="79">
        <v>4</v>
      </c>
      <c r="G33" s="47" t="s">
        <v>194</v>
      </c>
    </row>
    <row r="34" spans="2:7" s="5" customFormat="1" x14ac:dyDescent="0.25">
      <c r="B34" s="78" t="s">
        <v>195</v>
      </c>
      <c r="C34" s="93" t="s">
        <v>99</v>
      </c>
      <c r="D34" s="13" t="s">
        <v>196</v>
      </c>
      <c r="E34" s="15" t="s">
        <v>193</v>
      </c>
      <c r="F34" s="79">
        <v>1.4419999999999999</v>
      </c>
      <c r="G34" s="47" t="s">
        <v>197</v>
      </c>
    </row>
    <row r="35" spans="2:7" s="5" customFormat="1" x14ac:dyDescent="0.25">
      <c r="B35" s="78" t="s">
        <v>198</v>
      </c>
      <c r="C35" s="94" t="s">
        <v>99</v>
      </c>
      <c r="D35" s="13" t="s">
        <v>199</v>
      </c>
      <c r="E35" s="15" t="s">
        <v>118</v>
      </c>
      <c r="F35" s="79">
        <v>40</v>
      </c>
      <c r="G35" s="47" t="s">
        <v>200</v>
      </c>
    </row>
    <row r="36" spans="2:7" s="5" customFormat="1" x14ac:dyDescent="0.25">
      <c r="B36" s="78" t="s">
        <v>201</v>
      </c>
      <c r="C36" s="93" t="s">
        <v>99</v>
      </c>
      <c r="D36" s="13" t="s">
        <v>202</v>
      </c>
      <c r="E36" s="15" t="s">
        <v>118</v>
      </c>
      <c r="F36" s="79">
        <f>175*5</f>
        <v>875</v>
      </c>
      <c r="G36" s="47" t="s">
        <v>203</v>
      </c>
    </row>
    <row r="37" spans="2:7" s="5" customFormat="1" x14ac:dyDescent="0.25">
      <c r="B37" s="78" t="s">
        <v>77</v>
      </c>
      <c r="C37" s="94" t="s">
        <v>99</v>
      </c>
      <c r="D37" s="13" t="s">
        <v>204</v>
      </c>
      <c r="E37" s="15" t="s">
        <v>184</v>
      </c>
      <c r="F37" s="79">
        <v>15</v>
      </c>
      <c r="G37" s="47" t="s">
        <v>205</v>
      </c>
    </row>
    <row r="38" spans="2:7" s="5" customFormat="1" x14ac:dyDescent="0.25">
      <c r="B38" s="78" t="s">
        <v>206</v>
      </c>
      <c r="C38" s="93" t="s">
        <v>99</v>
      </c>
      <c r="D38" s="14" t="s">
        <v>207</v>
      </c>
      <c r="E38" s="15" t="s">
        <v>184</v>
      </c>
      <c r="F38" s="79">
        <v>4</v>
      </c>
      <c r="G38" s="48" t="s">
        <v>208</v>
      </c>
    </row>
    <row r="39" spans="2:7" s="5" customFormat="1" x14ac:dyDescent="0.25">
      <c r="B39" s="78" t="s">
        <v>209</v>
      </c>
      <c r="C39" s="94" t="s">
        <v>99</v>
      </c>
      <c r="D39" s="13" t="s">
        <v>210</v>
      </c>
      <c r="E39" s="15" t="s">
        <v>184</v>
      </c>
      <c r="F39" s="79">
        <v>9.5</v>
      </c>
      <c r="G39" s="47" t="s">
        <v>211</v>
      </c>
    </row>
    <row r="40" spans="2:7" s="5" customFormat="1" x14ac:dyDescent="0.25">
      <c r="B40" s="78" t="s">
        <v>212</v>
      </c>
      <c r="C40" s="93" t="s">
        <v>99</v>
      </c>
      <c r="D40" s="13" t="s">
        <v>213</v>
      </c>
      <c r="E40" s="15" t="s">
        <v>214</v>
      </c>
      <c r="F40" s="79">
        <v>3000</v>
      </c>
      <c r="G40" s="47" t="s">
        <v>215</v>
      </c>
    </row>
    <row r="41" spans="2:7" s="5" customFormat="1" x14ac:dyDescent="0.25">
      <c r="B41" s="78" t="s">
        <v>216</v>
      </c>
      <c r="C41" s="94" t="s">
        <v>99</v>
      </c>
      <c r="D41" s="13" t="s">
        <v>217</v>
      </c>
      <c r="E41" s="15" t="s">
        <v>184</v>
      </c>
      <c r="F41" s="79">
        <v>5.8</v>
      </c>
      <c r="G41" s="47" t="s">
        <v>218</v>
      </c>
    </row>
    <row r="42" spans="2:7" s="5" customFormat="1" x14ac:dyDescent="0.25">
      <c r="B42" s="78" t="s">
        <v>79</v>
      </c>
      <c r="C42" s="93" t="s">
        <v>99</v>
      </c>
      <c r="D42" s="13" t="s">
        <v>219</v>
      </c>
      <c r="E42" s="15" t="s">
        <v>184</v>
      </c>
      <c r="F42" s="79">
        <v>7.5</v>
      </c>
      <c r="G42" s="47" t="s">
        <v>218</v>
      </c>
    </row>
    <row r="43" spans="2:7" s="5" customFormat="1" x14ac:dyDescent="0.25">
      <c r="B43" s="78" t="s">
        <v>220</v>
      </c>
      <c r="C43" s="94" t="s">
        <v>99</v>
      </c>
      <c r="D43" s="13" t="s">
        <v>221</v>
      </c>
      <c r="E43" s="15" t="s">
        <v>184</v>
      </c>
      <c r="F43" s="79">
        <v>2.5</v>
      </c>
      <c r="G43" s="47" t="s">
        <v>218</v>
      </c>
    </row>
    <row r="44" spans="2:7" s="5" customFormat="1" x14ac:dyDescent="0.25">
      <c r="B44" s="78" t="s">
        <v>222</v>
      </c>
      <c r="C44" s="93" t="s">
        <v>99</v>
      </c>
      <c r="D44" s="13" t="s">
        <v>223</v>
      </c>
      <c r="E44" s="15" t="s">
        <v>184</v>
      </c>
      <c r="F44" s="79">
        <v>2</v>
      </c>
      <c r="G44" s="47" t="s">
        <v>218</v>
      </c>
    </row>
    <row r="45" spans="2:7" s="5" customFormat="1" x14ac:dyDescent="0.25">
      <c r="B45" s="78" t="s">
        <v>224</v>
      </c>
      <c r="C45" s="94" t="s">
        <v>99</v>
      </c>
      <c r="D45" s="13" t="s">
        <v>225</v>
      </c>
      <c r="E45" s="15" t="s">
        <v>226</v>
      </c>
      <c r="F45" s="79">
        <v>140</v>
      </c>
      <c r="G45" s="47" t="s">
        <v>227</v>
      </c>
    </row>
    <row r="46" spans="2:7" s="5" customFormat="1" x14ac:dyDescent="0.25">
      <c r="B46" s="78" t="s">
        <v>83</v>
      </c>
      <c r="C46" s="93" t="s">
        <v>99</v>
      </c>
      <c r="D46" s="13" t="s">
        <v>228</v>
      </c>
      <c r="E46" s="15" t="s">
        <v>226</v>
      </c>
      <c r="F46" s="79">
        <v>195</v>
      </c>
      <c r="G46" s="47" t="s">
        <v>227</v>
      </c>
    </row>
    <row r="47" spans="2:7" s="5" customFormat="1" x14ac:dyDescent="0.25">
      <c r="B47" s="78" t="s">
        <v>229</v>
      </c>
      <c r="C47" s="94" t="s">
        <v>99</v>
      </c>
      <c r="D47" s="13" t="s">
        <v>230</v>
      </c>
      <c r="E47" s="15" t="s">
        <v>214</v>
      </c>
      <c r="F47" s="79">
        <v>1250</v>
      </c>
      <c r="G47" s="47" t="s">
        <v>231</v>
      </c>
    </row>
    <row r="48" spans="2:7" s="5" customFormat="1" ht="30" x14ac:dyDescent="0.25">
      <c r="B48" s="78" t="s">
        <v>232</v>
      </c>
      <c r="C48" s="93" t="s">
        <v>99</v>
      </c>
      <c r="D48" s="13" t="s">
        <v>233</v>
      </c>
      <c r="E48" s="15" t="s">
        <v>214</v>
      </c>
      <c r="F48" s="79">
        <v>900</v>
      </c>
      <c r="G48" s="47" t="s">
        <v>234</v>
      </c>
    </row>
    <row r="49" spans="2:7" s="5" customFormat="1" ht="30" x14ac:dyDescent="0.25">
      <c r="B49" s="78" t="s">
        <v>81</v>
      </c>
      <c r="C49" s="94" t="s">
        <v>99</v>
      </c>
      <c r="D49" s="13" t="s">
        <v>235</v>
      </c>
      <c r="E49" s="15" t="s">
        <v>214</v>
      </c>
      <c r="F49" s="79">
        <v>1000</v>
      </c>
      <c r="G49" s="47" t="s">
        <v>234</v>
      </c>
    </row>
    <row r="50" spans="2:7" s="5" customFormat="1" x14ac:dyDescent="0.25">
      <c r="B50" s="78" t="s">
        <v>85</v>
      </c>
      <c r="C50" s="93" t="s">
        <v>99</v>
      </c>
      <c r="D50" s="13" t="s">
        <v>236</v>
      </c>
      <c r="E50" s="15" t="s">
        <v>214</v>
      </c>
      <c r="F50" s="79">
        <v>145</v>
      </c>
      <c r="G50" s="47" t="s">
        <v>237</v>
      </c>
    </row>
    <row r="51" spans="2:7" s="5" customFormat="1" x14ac:dyDescent="0.25">
      <c r="B51" s="78" t="s">
        <v>238</v>
      </c>
      <c r="C51" s="94" t="s">
        <v>99</v>
      </c>
      <c r="D51" s="13" t="s">
        <v>239</v>
      </c>
      <c r="E51" s="15" t="s">
        <v>214</v>
      </c>
      <c r="F51" s="79">
        <v>267</v>
      </c>
      <c r="G51" s="47" t="s">
        <v>240</v>
      </c>
    </row>
    <row r="52" spans="2:7" s="5" customFormat="1" x14ac:dyDescent="0.25">
      <c r="B52" s="78" t="s">
        <v>241</v>
      </c>
      <c r="C52" s="93" t="s">
        <v>99</v>
      </c>
      <c r="D52" s="13" t="s">
        <v>242</v>
      </c>
      <c r="E52" s="15" t="s">
        <v>214</v>
      </c>
      <c r="F52" s="79">
        <v>184</v>
      </c>
      <c r="G52" s="47" t="s">
        <v>243</v>
      </c>
    </row>
    <row r="53" spans="2:7" s="5" customFormat="1" x14ac:dyDescent="0.25">
      <c r="B53" s="78" t="s">
        <v>244</v>
      </c>
      <c r="C53" s="94" t="s">
        <v>99</v>
      </c>
      <c r="D53" s="13" t="s">
        <v>245</v>
      </c>
      <c r="E53" s="15" t="s">
        <v>214</v>
      </c>
      <c r="F53" s="79">
        <v>244</v>
      </c>
      <c r="G53" s="47" t="s">
        <v>246</v>
      </c>
    </row>
    <row r="54" spans="2:7" s="5" customFormat="1" ht="28.9" customHeight="1" x14ac:dyDescent="0.25">
      <c r="B54" s="78" t="s">
        <v>247</v>
      </c>
      <c r="C54" s="93" t="s">
        <v>99</v>
      </c>
      <c r="D54" s="13" t="s">
        <v>248</v>
      </c>
      <c r="E54" s="15" t="s">
        <v>214</v>
      </c>
      <c r="F54" s="79">
        <v>2500</v>
      </c>
      <c r="G54" s="47" t="s">
        <v>249</v>
      </c>
    </row>
    <row r="55" spans="2:7" s="5" customFormat="1" x14ac:dyDescent="0.25">
      <c r="B55" s="86" t="s">
        <v>250</v>
      </c>
      <c r="C55" s="94" t="s">
        <v>99</v>
      </c>
      <c r="D55" s="14" t="s">
        <v>251</v>
      </c>
      <c r="E55" s="16" t="s">
        <v>214</v>
      </c>
      <c r="F55" s="79">
        <v>406</v>
      </c>
      <c r="G55" s="48" t="s">
        <v>252</v>
      </c>
    </row>
  </sheetData>
  <sheetProtection algorithmName="SHA-512" hashValue="Su5cWxuxFi5gKHFNHYF2jj3iYt9TE3sHXVJtqkrAV/Qavx0NAQx9gs1JR6Bb1+5kDM/KB2DEWXDM+BneRRRYww==" saltValue="D/r9jqF9JRX8IdpLx6ISJw==" spinCount="100000" sheet="1" selectLockedCells="1" selectUnlockedCells="1"/>
  <dataConsolidate/>
  <mergeCells count="3">
    <mergeCell ref="D2:G5"/>
    <mergeCell ref="C2:C3"/>
    <mergeCell ref="C4:C5"/>
  </mergeCells>
  <pageMargins left="0.31496062992125984" right="0.31496062992125984" top="0.35433070866141736" bottom="0.35433070866141736" header="0.31496062992125984" footer="0.31496062992125984"/>
  <pageSetup paperSize="8" scale="81"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00DBF9E2B44448AF2DBBC01A42E2B" ma:contentTypeVersion="13" ma:contentTypeDescription="Create a new document." ma:contentTypeScope="" ma:versionID="d7925e3b20b67695c5ac6c1435767ce9">
  <xsd:schema xmlns:xsd="http://www.w3.org/2001/XMLSchema" xmlns:xs="http://www.w3.org/2001/XMLSchema" xmlns:p="http://schemas.microsoft.com/office/2006/metadata/properties" xmlns:ns2="1ed3bab3-3e5a-4c91-8f36-14d4c01ce76a" xmlns:ns3="a0935adb-67a1-49c6-b105-91d006251fdb" targetNamespace="http://schemas.microsoft.com/office/2006/metadata/properties" ma:root="true" ma:fieldsID="fe0c4ddb543d15fc9044021513b5c148" ns2:_="" ns3:_="">
    <xsd:import namespace="1ed3bab3-3e5a-4c91-8f36-14d4c01ce76a"/>
    <xsd:import namespace="a0935adb-67a1-49c6-b105-91d006251f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d3bab3-3e5a-4c91-8f36-14d4c01ce7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935adb-67a1-49c6-b105-91d006251f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B28CA5-9C88-4D62-BD2E-E085746580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d3bab3-3e5a-4c91-8f36-14d4c01ce76a"/>
    <ds:schemaRef ds:uri="a0935adb-67a1-49c6-b105-91d006251f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80BDBF-6337-4520-98DA-38276D182B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02D6940-2252-4DE8-A0EC-06B895653EAB}">
  <ds:schemaRefs>
    <ds:schemaRef ds:uri="http://schemas.microsoft.com/office/2006/metadata/longProperties"/>
  </ds:schemaRefs>
</ds:datastoreItem>
</file>

<file path=customXml/itemProps4.xml><?xml version="1.0" encoding="utf-8"?>
<ds:datastoreItem xmlns:ds="http://schemas.openxmlformats.org/officeDocument/2006/customXml" ds:itemID="{4082FF2F-D1D3-44D1-94AD-6E7DF19965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Summary Sheet</vt:lpstr>
      <vt:lpstr>Example</vt:lpstr>
      <vt:lpstr>Calculator</vt:lpstr>
      <vt:lpstr>Standard Costs</vt:lpstr>
      <vt:lpstr>Calculator!Print_Area</vt:lpstr>
      <vt:lpstr>Example!Print_Area</vt:lpstr>
      <vt:lpstr>Instructions!Print_Area</vt:lpstr>
      <vt:lpstr>'Standard Costs'!Print_Area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Robinson</dc:creator>
  <cp:keywords/>
  <dc:description/>
  <cp:lastModifiedBy>Kat James</cp:lastModifiedBy>
  <cp:revision/>
  <cp:lastPrinted>2021-11-22T13:32:52Z</cp:lastPrinted>
  <dcterms:created xsi:type="dcterms:W3CDTF">2013-09-27T12:45:46Z</dcterms:created>
  <dcterms:modified xsi:type="dcterms:W3CDTF">2021-11-22T13:34:43Z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Daniel Small</vt:lpwstr>
  </property>
  <property fmtid="{D5CDD505-2E9C-101B-9397-08002B2CF9AE}" pid="3" name="Order">
    <vt:lpwstr>8104600.00000000</vt:lpwstr>
  </property>
  <property fmtid="{D5CDD505-2E9C-101B-9397-08002B2CF9AE}" pid="4" name="display_urn:schemas-microsoft-com:office:office#Author">
    <vt:lpwstr>Daniel Small</vt:lpwstr>
  </property>
  <property fmtid="{D5CDD505-2E9C-101B-9397-08002B2CF9AE}" pid="5" name="ContentTypeId">
    <vt:lpwstr>0x010100CE000DBF9E2B44448AF2DBBC01A42E2B</vt:lpwstr>
  </property>
</Properties>
</file>